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0500" windowHeight="7540"/>
  </bookViews>
  <sheets>
    <sheet name="RESUMEN" sheetId="14" r:id="rId1"/>
    <sheet name="Gas natural" sheetId="10" r:id="rId2"/>
    <sheet name="Electricidad" sheetId="13" r:id="rId3"/>
    <sheet name="Hoja de datos" sheetId="1" r:id="rId4"/>
    <sheet name="Agua" sheetId="3" state="hidden" r:id="rId5"/>
    <sheet name="Subsidio a la oferta" sheetId="8" state="hidden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C25" i="1"/>
  <c r="C37" i="1"/>
  <c r="D25" i="1"/>
  <c r="D37" i="1"/>
  <c r="E37" i="1"/>
  <c r="G49" i="10"/>
  <c r="F49" i="10"/>
  <c r="I49" i="10"/>
  <c r="C57" i="10"/>
  <c r="I60" i="10"/>
  <c r="C50" i="10"/>
  <c r="B38" i="1"/>
  <c r="C38" i="1"/>
  <c r="D38" i="1"/>
  <c r="E38" i="1"/>
  <c r="G50" i="10"/>
  <c r="F50" i="10"/>
  <c r="I50" i="10"/>
  <c r="I61" i="10"/>
  <c r="I59" i="10"/>
  <c r="B33" i="1"/>
  <c r="C21" i="1"/>
  <c r="C33" i="1"/>
  <c r="D21" i="1"/>
  <c r="D33" i="1"/>
  <c r="E33" i="1"/>
  <c r="G29" i="10"/>
  <c r="F29" i="10"/>
  <c r="I29" i="10"/>
  <c r="C37" i="10"/>
  <c r="I41" i="10"/>
  <c r="C30" i="10"/>
  <c r="B34" i="1"/>
  <c r="C34" i="1"/>
  <c r="D34" i="1"/>
  <c r="E34" i="1"/>
  <c r="G30" i="10"/>
  <c r="F30" i="10"/>
  <c r="I30" i="10"/>
  <c r="I42" i="10"/>
  <c r="I40" i="10"/>
  <c r="B29" i="1"/>
  <c r="C29" i="1"/>
  <c r="D29" i="1"/>
  <c r="E29" i="1"/>
  <c r="G8" i="10"/>
  <c r="F8" i="10"/>
  <c r="I8" i="10"/>
  <c r="C16" i="10"/>
  <c r="I19" i="10"/>
  <c r="C9" i="10"/>
  <c r="B30" i="1"/>
  <c r="C30" i="1"/>
  <c r="D30" i="1"/>
  <c r="E30" i="1"/>
  <c r="G9" i="10"/>
  <c r="F9" i="10"/>
  <c r="I9" i="10"/>
  <c r="I20" i="10"/>
  <c r="I18" i="10"/>
  <c r="B49" i="1"/>
  <c r="B45" i="1"/>
  <c r="E30" i="13"/>
  <c r="F30" i="13"/>
  <c r="F31" i="13"/>
  <c r="F32" i="13"/>
  <c r="F33" i="13"/>
  <c r="C30" i="13"/>
  <c r="D30" i="13"/>
  <c r="H30" i="13"/>
  <c r="E9" i="13"/>
  <c r="F9" i="13"/>
  <c r="F10" i="13"/>
  <c r="F11" i="13"/>
  <c r="F12" i="13"/>
  <c r="C9" i="13"/>
  <c r="D9" i="13"/>
  <c r="E49" i="10"/>
  <c r="E29" i="10"/>
  <c r="D50" i="10"/>
  <c r="E50" i="10"/>
  <c r="D30" i="10"/>
  <c r="E30" i="10"/>
  <c r="D31" i="13"/>
  <c r="D32" i="13"/>
  <c r="D33" i="13"/>
  <c r="H9" i="13"/>
  <c r="K9" i="13"/>
  <c r="D10" i="13"/>
  <c r="D11" i="13"/>
  <c r="D12" i="13"/>
  <c r="B46" i="1"/>
  <c r="C46" i="1"/>
  <c r="D46" i="1"/>
  <c r="E46" i="1"/>
  <c r="G9" i="13"/>
  <c r="B50" i="1"/>
  <c r="K30" i="13"/>
  <c r="E8" i="10"/>
  <c r="D9" i="10"/>
  <c r="E9" i="10"/>
  <c r="C45" i="1"/>
  <c r="C49" i="1"/>
  <c r="D49" i="1"/>
  <c r="C50" i="1"/>
  <c r="C38" i="13"/>
  <c r="C17" i="13"/>
  <c r="D50" i="1"/>
  <c r="E50" i="1"/>
  <c r="G30" i="13"/>
  <c r="D31" i="10"/>
  <c r="E31" i="10"/>
  <c r="D32" i="10"/>
  <c r="E32" i="10"/>
  <c r="D33" i="10"/>
  <c r="E33" i="10"/>
  <c r="D45" i="1"/>
  <c r="E45" i="1"/>
  <c r="H8" i="13"/>
  <c r="J41" i="10"/>
  <c r="J29" i="10"/>
  <c r="J60" i="10"/>
  <c r="J49" i="10"/>
  <c r="G8" i="13"/>
  <c r="F31" i="10"/>
  <c r="G31" i="10"/>
  <c r="F51" i="10"/>
  <c r="G51" i="10"/>
  <c r="C31" i="13"/>
  <c r="C51" i="10"/>
  <c r="D51" i="10"/>
  <c r="E51" i="10"/>
  <c r="C32" i="13"/>
  <c r="K8" i="13"/>
  <c r="J8" i="13"/>
  <c r="G10" i="13"/>
  <c r="F32" i="10"/>
  <c r="G32" i="10"/>
  <c r="C52" i="10"/>
  <c r="D52" i="10"/>
  <c r="E52" i="10"/>
  <c r="F33" i="10"/>
  <c r="G33" i="10"/>
  <c r="J59" i="10"/>
  <c r="F52" i="10"/>
  <c r="G52" i="10"/>
  <c r="C33" i="13"/>
  <c r="C53" i="10"/>
  <c r="D53" i="10"/>
  <c r="E53" i="10"/>
  <c r="I52" i="10"/>
  <c r="J62" i="10"/>
  <c r="F53" i="10"/>
  <c r="G53" i="10"/>
  <c r="J52" i="10"/>
  <c r="J61" i="10"/>
  <c r="J50" i="10"/>
  <c r="I53" i="10"/>
  <c r="J53" i="10"/>
  <c r="E10" i="13"/>
  <c r="G11" i="13"/>
  <c r="D10" i="10"/>
  <c r="E10" i="10"/>
  <c r="F10" i="10"/>
  <c r="C10" i="10"/>
  <c r="K21" i="13"/>
  <c r="E11" i="13"/>
  <c r="E12" i="13"/>
  <c r="F11" i="10"/>
  <c r="G11" i="10"/>
  <c r="G10" i="10"/>
  <c r="G12" i="13"/>
  <c r="D11" i="10"/>
  <c r="E11" i="10"/>
  <c r="C11" i="10"/>
  <c r="H23" i="10"/>
  <c r="J18" i="10"/>
  <c r="D12" i="10"/>
  <c r="E12" i="10"/>
  <c r="C12" i="10"/>
  <c r="F12" i="10"/>
  <c r="G12" i="10"/>
  <c r="I23" i="10"/>
  <c r="J23" i="10"/>
  <c r="J8" i="10"/>
  <c r="I12" i="10"/>
  <c r="J12" i="10"/>
  <c r="I11" i="10"/>
  <c r="J11" i="10"/>
  <c r="J19" i="10"/>
  <c r="J9" i="10"/>
  <c r="J68" i="10"/>
  <c r="C6" i="14"/>
  <c r="J20" i="10"/>
  <c r="P19" i="3"/>
  <c r="M19" i="3"/>
  <c r="P18" i="3"/>
  <c r="M18" i="3"/>
  <c r="P17" i="3"/>
  <c r="M17" i="3"/>
  <c r="P16" i="3"/>
  <c r="M16" i="3"/>
  <c r="N15" i="3"/>
  <c r="F28" i="8"/>
  <c r="F27" i="8"/>
  <c r="F26" i="8"/>
  <c r="F25" i="8"/>
  <c r="F23" i="8"/>
  <c r="G23" i="8"/>
  <c r="F22" i="8"/>
  <c r="G22" i="8"/>
  <c r="F21" i="8"/>
  <c r="G21" i="8"/>
  <c r="F14" i="8"/>
  <c r="F13" i="8"/>
  <c r="G13" i="8"/>
  <c r="F12" i="8"/>
  <c r="F11" i="8"/>
  <c r="G11" i="8"/>
  <c r="F10" i="8"/>
  <c r="G10" i="8"/>
  <c r="F9" i="8"/>
  <c r="G9" i="8"/>
  <c r="F8" i="8"/>
  <c r="G8" i="8"/>
  <c r="F7" i="8"/>
  <c r="G7" i="8"/>
  <c r="F6" i="8"/>
  <c r="G30" i="8"/>
  <c r="P21" i="3"/>
  <c r="M21" i="3"/>
  <c r="P20" i="3"/>
  <c r="M20" i="3"/>
  <c r="G15" i="8"/>
  <c r="G16" i="8"/>
  <c r="P22" i="3"/>
  <c r="M22" i="3"/>
  <c r="P23" i="3"/>
  <c r="M23" i="3"/>
  <c r="P24" i="3"/>
  <c r="M24" i="3"/>
  <c r="P25" i="3"/>
  <c r="M25" i="3"/>
  <c r="P26" i="3"/>
  <c r="M26" i="3"/>
  <c r="P27" i="3"/>
  <c r="M27" i="3"/>
  <c r="N27" i="3"/>
  <c r="O27" i="3"/>
  <c r="T27" i="3"/>
  <c r="F18" i="3"/>
  <c r="C18" i="3"/>
  <c r="F17" i="3"/>
  <c r="C17" i="3"/>
  <c r="F19" i="3"/>
  <c r="C19" i="3"/>
  <c r="F16" i="3"/>
  <c r="C16" i="3"/>
  <c r="I20" i="3"/>
  <c r="I21" i="3"/>
  <c r="D15" i="3"/>
  <c r="I22" i="3"/>
  <c r="F21" i="3"/>
  <c r="C21" i="3"/>
  <c r="F20" i="3"/>
  <c r="C20" i="3"/>
  <c r="I23" i="3"/>
  <c r="F22" i="3"/>
  <c r="C22" i="3"/>
  <c r="G31" i="8"/>
  <c r="I24" i="3"/>
  <c r="F23" i="3"/>
  <c r="C23" i="3"/>
  <c r="E31" i="13"/>
  <c r="E32" i="13"/>
  <c r="E33" i="13"/>
  <c r="I25" i="3"/>
  <c r="F24" i="3"/>
  <c r="C24" i="3"/>
  <c r="E49" i="1"/>
  <c r="J30" i="13"/>
  <c r="K43" i="13"/>
  <c r="G29" i="13"/>
  <c r="G31" i="13"/>
  <c r="H29" i="13"/>
  <c r="K29" i="13"/>
  <c r="I26" i="3"/>
  <c r="F25" i="3"/>
  <c r="C25" i="3"/>
  <c r="J29" i="13"/>
  <c r="K42" i="13"/>
  <c r="K49" i="13"/>
  <c r="D6" i="14"/>
  <c r="E6" i="14"/>
  <c r="H31" i="13"/>
  <c r="I27" i="3"/>
  <c r="F26" i="3"/>
  <c r="C26" i="3"/>
  <c r="G32" i="13"/>
  <c r="K41" i="13"/>
  <c r="H32" i="13"/>
  <c r="J32" i="13"/>
  <c r="F27" i="3"/>
  <c r="C27" i="3"/>
  <c r="D27" i="3"/>
  <c r="E27" i="3"/>
  <c r="J27" i="3"/>
  <c r="G33" i="13"/>
  <c r="J33" i="13"/>
  <c r="K44" i="13"/>
  <c r="K32" i="13"/>
  <c r="H33" i="13"/>
  <c r="K33" i="13"/>
  <c r="H10" i="13"/>
  <c r="C10" i="13"/>
  <c r="J9" i="13"/>
  <c r="K22" i="13"/>
  <c r="K50" i="13"/>
  <c r="H11" i="13"/>
  <c r="K11" i="13"/>
  <c r="C11" i="13"/>
  <c r="D8" i="14"/>
  <c r="E8" i="14"/>
  <c r="H12" i="13"/>
  <c r="K12" i="13"/>
  <c r="K23" i="13"/>
  <c r="J11" i="13"/>
  <c r="K20" i="13"/>
  <c r="C12" i="13"/>
  <c r="K48" i="13"/>
  <c r="D5" i="14"/>
  <c r="K51" i="13"/>
  <c r="D9" i="14"/>
  <c r="J12" i="13"/>
  <c r="D4" i="14"/>
  <c r="J30" i="10"/>
  <c r="C31" i="10"/>
  <c r="C32" i="10"/>
  <c r="J42" i="10"/>
  <c r="J69" i="10"/>
  <c r="C7" i="14"/>
  <c r="E7" i="14"/>
  <c r="J40" i="10"/>
  <c r="J67" i="10"/>
  <c r="C5" i="14"/>
  <c r="E5" i="14"/>
  <c r="C33" i="10"/>
  <c r="I33" i="10"/>
  <c r="J33" i="10"/>
  <c r="I32" i="10"/>
  <c r="J43" i="10"/>
  <c r="J32" i="10"/>
  <c r="J70" i="10"/>
  <c r="C9" i="14"/>
  <c r="E9" i="14"/>
  <c r="E4" i="14"/>
  <c r="C4" i="14"/>
</calcChain>
</file>

<file path=xl/comments1.xml><?xml version="1.0" encoding="utf-8"?>
<comments xmlns="http://schemas.openxmlformats.org/spreadsheetml/2006/main">
  <authors>
    <author>Mariano Ortiz</author>
  </authors>
  <commentList>
    <comment ref="C3" authorId="0">
      <text>
        <r>
          <rPr>
            <sz val="9"/>
            <color indexed="81"/>
            <rFont val="Tahoma"/>
            <family val="2"/>
          </rPr>
          <t xml:space="preserve">Dato 2017. Fuente: MINEM
Se asume constante para 2018.
</t>
        </r>
      </text>
    </comment>
    <comment ref="C6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F6" authorId="0">
      <text>
        <r>
          <rPr>
            <sz val="9"/>
            <color indexed="81"/>
            <rFont val="Tahoma"/>
            <family val="2"/>
          </rPr>
          <t>Asume incremento por CVS sobre los precios vigentes a noviembre 2017. Primer ajuste efectivo a noviembre 2017 corresponde a CVS entre enero 2017 (3 meses antes de aumento previo) y julio 2017 (3 meses antes de este aumento). Segundo aumento efectivo a noviembre 2018 corresponde a variación del CVS entre agosto 2017 y julio 2018.</t>
        </r>
      </text>
    </comment>
    <comment ref="I6" authorId="0">
      <text>
        <r>
          <rPr>
            <sz val="9"/>
            <color indexed="81"/>
            <rFont val="Tahoma"/>
            <family val="2"/>
          </rPr>
          <t>Incluye incremento de subsidios y pérdida de recaudación de IVA</t>
        </r>
      </text>
    </comment>
    <comment ref="C8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Surge de los contratos de abastecimiento entre productores y distribuidores, realizados en el marco del acuerdo que fija un sendero de precios para 2018-2019.
Fuente: MINEM</t>
        </r>
      </text>
    </comment>
    <comment ref="D8" authorId="0">
      <text>
        <r>
          <rPr>
            <sz val="9"/>
            <color indexed="81"/>
            <rFont val="Tahoma"/>
            <family val="2"/>
          </rPr>
          <t>Fuente: MINEM</t>
        </r>
      </text>
    </comment>
    <comment ref="C14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D14" authorId="0">
      <text>
        <r>
          <rPr>
            <sz val="9"/>
            <color indexed="81"/>
            <rFont val="Tahoma"/>
            <family val="2"/>
          </rPr>
          <t>Estimación correspondiente a noviembre 2017. 
Fuente: MINEM</t>
        </r>
      </text>
    </comment>
    <comment ref="C15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C27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F27" authorId="0">
      <text>
        <r>
          <rPr>
            <sz val="9"/>
            <color indexed="81"/>
            <rFont val="Tahoma"/>
            <family val="2"/>
          </rPr>
          <t>Asume incremento por CVS sobre los precios vigentes a noviembre 2017. Primer ajuste efectivo a noviembre 2017 corresponde a CVS entre enero 2017 (3 meses antes de aumento previo) y julio 2017 (3 meses antes de este aumento). Segundo aumento efectivo a noviembre 2018 corresponde a variación del CVS entre agosto 2017 y julio 2018.</t>
        </r>
      </text>
    </comment>
    <comment ref="I27" authorId="0">
      <text>
        <r>
          <rPr>
            <sz val="9"/>
            <color indexed="81"/>
            <rFont val="Tahoma"/>
            <family val="2"/>
          </rPr>
          <t>Incluye incremento de subsidios y pérdida de recaudación de IVA</t>
        </r>
      </text>
    </comment>
    <comment ref="C29" authorId="0">
      <text>
        <r>
          <rPr>
            <sz val="9"/>
            <color indexed="81"/>
            <rFont val="Tahoma"/>
            <family val="2"/>
          </rPr>
          <t>Precio estimado promedio 2018 para consumo residencial en Patagonia, La Pampa, Puna y Malargüe. Surge de los contratos de abastecimiento entre productores y distribuidores, realizados en el marco del acuerdo que fija un sendero de precios para 2018-2019.
Fuente: MINEM</t>
        </r>
      </text>
    </comment>
    <comment ref="D29" authorId="0">
      <text>
        <r>
          <rPr>
            <sz val="9"/>
            <color indexed="81"/>
            <rFont val="Tahoma"/>
            <family val="2"/>
          </rPr>
          <t>Fuente: MINEM</t>
        </r>
      </text>
    </comment>
    <comment ref="C3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D35" authorId="0">
      <text>
        <r>
          <rPr>
            <sz val="9"/>
            <color indexed="81"/>
            <rFont val="Tahoma"/>
            <family val="2"/>
          </rPr>
          <t>Estimación correspondiente a noviembre 2017. 
Fuente: MINEM</t>
        </r>
      </text>
    </comment>
    <comment ref="C36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B46" authorId="0">
      <text>
        <r>
          <rPr>
            <sz val="9"/>
            <color indexed="81"/>
            <rFont val="Tahoma"/>
            <family val="2"/>
          </rPr>
          <t>Por falta de información correspondiente a consumo de MiPyMEs, se utiliza información correspondiente a la categoría de consumidores comerciales</t>
        </r>
      </text>
    </comment>
    <comment ref="C47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F47" authorId="0">
      <text>
        <r>
          <rPr>
            <sz val="9"/>
            <color indexed="81"/>
            <rFont val="Tahoma"/>
            <family val="2"/>
          </rPr>
          <t>Asume incremento por IPIM sobre los precios vigentes a noviembre 2017. Primer ajuste efectivo a noviembre 2017 corresponde variación de IPIM entre enero 2017 (3 meses antes de aumento previo) y julio 2017 (3 meses antes de este aumento). Segundo aumento efectivo a agosto 2018 corresponde a variación del IPIM entre agosto 2017 y abril 2018.</t>
        </r>
      </text>
    </comment>
    <comment ref="I47" authorId="0">
      <text>
        <r>
          <rPr>
            <sz val="9"/>
            <color indexed="81"/>
            <rFont val="Tahoma"/>
            <family val="2"/>
          </rPr>
          <t>Incluye incremento de subsidios y pérdida de recaudación de IVA</t>
        </r>
      </text>
    </comment>
    <comment ref="C49" authorId="0">
      <text>
        <r>
          <rPr>
            <sz val="9"/>
            <color indexed="81"/>
            <rFont val="Tahoma"/>
            <family val="2"/>
          </rPr>
          <t>Precio estimado promedio 2018 para consumo comercial. Surge de los contratos de abastecimiento entre productores y distribuidores, realizados en el marco del acuerdo que fija un sendero de precios para 2018-2019.
Fuente: MINEM</t>
        </r>
      </text>
    </comment>
    <comment ref="D49" authorId="0">
      <text>
        <r>
          <rPr>
            <sz val="9"/>
            <color indexed="81"/>
            <rFont val="Tahoma"/>
            <family val="2"/>
          </rPr>
          <t>Fuente: MINEM</t>
        </r>
      </text>
    </comment>
    <comment ref="C5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D55" authorId="0">
      <text>
        <r>
          <rPr>
            <sz val="9"/>
            <color indexed="81"/>
            <rFont val="Tahoma"/>
            <family val="2"/>
          </rPr>
          <t>Estimación correspondiente a noviembre 2017. 
Fuente: MINEM</t>
        </r>
      </text>
    </comment>
    <comment ref="C56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</commentList>
</comments>
</file>

<file path=xl/comments2.xml><?xml version="1.0" encoding="utf-8"?>
<comments xmlns="http://schemas.openxmlformats.org/spreadsheetml/2006/main">
  <authors>
    <author>Mariano Ortiz</author>
  </authors>
  <commentList>
    <comment ref="C3" authorId="0">
      <text>
        <r>
          <rPr>
            <sz val="9"/>
            <color indexed="81"/>
            <rFont val="Tahoma"/>
            <family val="2"/>
          </rPr>
          <t xml:space="preserve">Dato 2017. Fuente: MINEM
Se asume constante para 2018.
</t>
        </r>
      </text>
    </comment>
    <comment ref="C6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G6" authorId="0">
      <text>
        <r>
          <rPr>
            <sz val="9"/>
            <color indexed="81"/>
            <rFont val="Tahoma"/>
            <family val="2"/>
          </rPr>
          <t>Asume incremento por CVS sobre los precios vigentes a noviembre 2017. Primer ajuste efectivo a noviembre 2017 corresponde a CVS entre enero 2017 (3 meses antes de aumento previo) y julio 2017 (3 meses antes de este aumento). Segundo aumento efectivo a noviembre 2018 corresponde a variación del CVS entre agosto 2017 y julio 2018.</t>
        </r>
      </text>
    </comment>
    <comment ref="J6" authorId="0">
      <text>
        <r>
          <rPr>
            <sz val="9"/>
            <color indexed="81"/>
            <rFont val="Tahoma"/>
            <family val="2"/>
          </rPr>
          <t>Incluye incremento de subsidios y pérdida de recaudación de IVA</t>
        </r>
      </text>
    </comment>
    <comment ref="C8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
Fuente: MINEM</t>
        </r>
      </text>
    </comment>
    <comment ref="D8" authorId="0">
      <text>
        <r>
          <rPr>
            <sz val="9"/>
            <color indexed="81"/>
            <rFont val="Tahoma"/>
            <family val="2"/>
          </rPr>
          <t>Precio estimado promedio 2018 para consumo residencial de tarifa plena. 
Fuente: MINEM</t>
        </r>
      </text>
    </comment>
    <comment ref="E8" authorId="0">
      <text>
        <r>
          <rPr>
            <sz val="9"/>
            <color indexed="81"/>
            <rFont val="Tahoma"/>
            <family val="2"/>
          </rPr>
          <t>Fuente: MINEM</t>
        </r>
      </text>
    </comment>
    <comment ref="F8" authorId="0">
      <text>
        <r>
          <rPr>
            <sz val="9"/>
            <color indexed="81"/>
            <rFont val="Tahoma"/>
            <family val="2"/>
          </rPr>
          <t>Fuente: MINEM</t>
        </r>
      </text>
    </comment>
    <comment ref="C14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E14" authorId="0">
      <text>
        <r>
          <rPr>
            <sz val="9"/>
            <color indexed="81"/>
            <rFont val="Tahoma"/>
            <family val="2"/>
          </rPr>
          <t>Estimación correspondiente a noviembre 2017. 
Fuente: MINEM</t>
        </r>
      </text>
    </comment>
    <comment ref="C1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E15" authorId="0">
      <text>
        <r>
          <rPr>
            <sz val="9"/>
            <color indexed="81"/>
            <rFont val="Tahoma"/>
            <family val="2"/>
          </rPr>
          <t>Estimación correspondiente a noviembre 2017. 
Fuente: MINEM</t>
        </r>
      </text>
    </comment>
    <comment ref="C16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C18" authorId="0">
      <text>
        <r>
          <rPr>
            <sz val="9"/>
            <color indexed="81"/>
            <rFont val="Tahoma"/>
            <family val="2"/>
          </rPr>
          <t>Informe de Cammesa a diciembre 2017 para el total del año</t>
        </r>
      </text>
    </comment>
    <comment ref="B26" authorId="0">
      <text>
        <r>
          <rPr>
            <sz val="9"/>
            <color indexed="81"/>
            <rFont val="Tahoma"/>
            <family val="2"/>
          </rPr>
          <t>Por falta de información correspondiente a consumo de MiPyMEs, se utiliza información correspondiente a la categoría de consumidores comerciales</t>
        </r>
      </text>
    </comment>
    <comment ref="C27" authorId="0">
      <text>
        <r>
          <rPr>
            <sz val="9"/>
            <color indexed="81"/>
            <rFont val="Tahoma"/>
            <family val="2"/>
          </rPr>
          <t>Precios promedio proyectados para 2018 de acuerdo a la política tarifaria vigente.</t>
        </r>
      </text>
    </comment>
    <comment ref="G27" authorId="0">
      <text>
        <r>
          <rPr>
            <sz val="9"/>
            <color indexed="81"/>
            <rFont val="Tahoma"/>
            <family val="2"/>
          </rPr>
          <t>Asume incremento por IPIM sobre los precios vigentes a noviembre 2017. Primer ajuste efectivo a noviembre 2017 corresponde variación de IPIM entre enero 2017 (3 meses antes de aumento previo) y julio 2017 (3 meses antes de este aumento). Segundo aumento efectivo a agosto 2018 corresponde a variación del IPIM entre agosto 2017 y abril 2018.</t>
        </r>
      </text>
    </comment>
    <comment ref="J27" authorId="0">
      <text>
        <r>
          <rPr>
            <sz val="9"/>
            <color indexed="81"/>
            <rFont val="Tahoma"/>
            <family val="2"/>
          </rPr>
          <t>Incluye incremento de subsidios y pérdida de recaudación de IVA</t>
        </r>
      </text>
    </comment>
    <comment ref="C29" authorId="0">
      <text>
        <r>
          <rPr>
            <sz val="9"/>
            <color indexed="81"/>
            <rFont val="Tahoma"/>
            <family val="2"/>
          </rPr>
          <t>Precio estimado promedio 2018 para consumo comercial. 
Fuente: MINEM</t>
        </r>
      </text>
    </comment>
    <comment ref="D29" authorId="0">
      <text>
        <r>
          <rPr>
            <sz val="9"/>
            <color indexed="81"/>
            <rFont val="Tahoma"/>
            <family val="2"/>
          </rPr>
          <t>Precio estimado promedio 2018 para consumo comercial. 
Fuente: MINEM</t>
        </r>
      </text>
    </comment>
    <comment ref="E29" authorId="0">
      <text>
        <r>
          <rPr>
            <sz val="9"/>
            <color indexed="81"/>
            <rFont val="Tahoma"/>
            <family val="2"/>
          </rPr>
          <t>Fuente: MINEM</t>
        </r>
      </text>
    </comment>
    <comment ref="F29" authorId="0">
      <text>
        <r>
          <rPr>
            <sz val="9"/>
            <color indexed="81"/>
            <rFont val="Tahoma"/>
            <family val="2"/>
          </rPr>
          <t>Fuente: MINEM</t>
        </r>
      </text>
    </comment>
    <comment ref="C35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E35" authorId="0">
      <text>
        <r>
          <rPr>
            <sz val="9"/>
            <color indexed="81"/>
            <rFont val="Tahoma"/>
            <family val="2"/>
          </rPr>
          <t>Estimación correspondiente a noviembre 2017. 
Fuente: MINEM</t>
        </r>
      </text>
    </comment>
    <comment ref="C36" authorId="0">
      <text>
        <r>
          <rPr>
            <sz val="9"/>
            <color indexed="81"/>
            <rFont val="Tahoma"/>
            <family val="2"/>
          </rPr>
          <t>Estimación correspondiente a abril 2018. 
Fuente: MINEM</t>
        </r>
      </text>
    </comment>
    <comment ref="E36" authorId="0">
      <text>
        <r>
          <rPr>
            <sz val="9"/>
            <color indexed="81"/>
            <rFont val="Tahoma"/>
            <family val="2"/>
          </rPr>
          <t>Estimación correspondiente a noviembre 2017. 
Fuente: MINEM</t>
        </r>
      </text>
    </comment>
    <comment ref="C37" authorId="0">
      <text>
        <r>
          <rPr>
            <sz val="9"/>
            <color indexed="81"/>
            <rFont val="Tahoma"/>
            <family val="2"/>
          </rPr>
          <t>Participación promedio 2017. Fuente: MINEM
Se supone constante en 2018.</t>
        </r>
      </text>
    </comment>
    <comment ref="C39" authorId="0">
      <text>
        <r>
          <rPr>
            <sz val="9"/>
            <color indexed="81"/>
            <rFont val="Tahoma"/>
            <family val="2"/>
          </rPr>
          <t>Informe de Cammesa a diciembre 2017 para el total del año</t>
        </r>
      </text>
    </comment>
  </commentList>
</comments>
</file>

<file path=xl/comments3.xml><?xml version="1.0" encoding="utf-8"?>
<comments xmlns="http://schemas.openxmlformats.org/spreadsheetml/2006/main">
  <authors>
    <author>Mariano Ortiz</author>
  </authors>
  <commentList>
    <comment ref="B16" authorId="0">
      <text>
        <r>
          <rPr>
            <sz val="9"/>
            <color indexed="81"/>
            <rFont val="Tahoma"/>
            <family val="2"/>
          </rPr>
          <t>Proyección en base a último REM (Abril 2018)</t>
        </r>
      </text>
    </comment>
    <comment ref="D20" authorId="0">
      <text>
        <r>
          <rPr>
            <sz val="9"/>
            <color indexed="81"/>
            <rFont val="Tahoma"/>
            <family val="2"/>
          </rPr>
          <t>Dato CVS hasta febrero 2018 (Fuente INDEC). Proyección hasta julio en base a pauta salarial anual de 15% para 2018.</t>
        </r>
      </text>
    </comment>
  </commentList>
</comments>
</file>

<file path=xl/sharedStrings.xml><?xml version="1.0" encoding="utf-8"?>
<sst xmlns="http://schemas.openxmlformats.org/spreadsheetml/2006/main" count="258" uniqueCount="123">
  <si>
    <t>Subsidio</t>
  </si>
  <si>
    <t>GAS</t>
  </si>
  <si>
    <t>ELECTRICIDAD</t>
  </si>
  <si>
    <t>Captación, depuración y distribución de agua</t>
  </si>
  <si>
    <t>Resto país</t>
  </si>
  <si>
    <t>PRECIOS</t>
  </si>
  <si>
    <t>TIPO DE CAMBIO</t>
  </si>
  <si>
    <t>Datos básicos utilizados</t>
  </si>
  <si>
    <t>COSTO PROMEDIO</t>
  </si>
  <si>
    <t>TRANSPORTE</t>
  </si>
  <si>
    <t>CONTRATOS MEM y OTROS</t>
  </si>
  <si>
    <t>TOTAL</t>
  </si>
  <si>
    <t>RENOVABLE</t>
  </si>
  <si>
    <t>NUCLEAR</t>
  </si>
  <si>
    <t>HIDROELÉCTRICA</t>
  </si>
  <si>
    <t>TÉRMICA</t>
  </si>
  <si>
    <t>VOLÚMEN
(% del total)</t>
  </si>
  <si>
    <t>PRECIO
($/Mwh)</t>
  </si>
  <si>
    <t>LO QUE COBRA LA OFERTA</t>
  </si>
  <si>
    <t>PROYECCIÓN 2018</t>
  </si>
  <si>
    <t>TOTAL INCL. LÍQUIDOS</t>
  </si>
  <si>
    <t>COMBUSTIBLES LÍQUIDOS</t>
  </si>
  <si>
    <t>GN CHILE (vía gasoducto)</t>
  </si>
  <si>
    <t>GNLR (vía barco)</t>
  </si>
  <si>
    <t>GN BOLIVIA (vía gasoducto)</t>
  </si>
  <si>
    <t>INCREMENTAL/Res. 46</t>
  </si>
  <si>
    <t>BASE</t>
  </si>
  <si>
    <t>PRODUCCIÓN LOCAL</t>
  </si>
  <si>
    <t>PRECIO
(USD/MBTU)</t>
  </si>
  <si>
    <t>SUBSIDIO A LA OFERTA</t>
  </si>
  <si>
    <t>Costo del subsidio</t>
  </si>
  <si>
    <t>Volúmen inyectado</t>
  </si>
  <si>
    <t>TOTAL SUBSIDIO A LA GENERACIÓN</t>
  </si>
  <si>
    <t>SUBSIDIO SECTORIAL</t>
  </si>
  <si>
    <t>IVA</t>
  </si>
  <si>
    <t>En millones de pesos</t>
  </si>
  <si>
    <t>TOTAL FACTURA</t>
  </si>
  <si>
    <t>TOTAL SUBSIDIO EN $</t>
  </si>
  <si>
    <t>PÉRDIDA POR IVA</t>
  </si>
  <si>
    <t>Distribución</t>
  </si>
  <si>
    <t>Subsidio Transporte y Distribución</t>
  </si>
  <si>
    <t>Subsidio Distribución</t>
  </si>
  <si>
    <t>Subsidio Generación y Transporte</t>
  </si>
  <si>
    <t>AJUSTE TARIFAS GAS</t>
  </si>
  <si>
    <t>RESIDENCIAL</t>
  </si>
  <si>
    <t>CVS</t>
  </si>
  <si>
    <t>Promedio 2018</t>
  </si>
  <si>
    <t>Tarifa generación</t>
  </si>
  <si>
    <t>Tarifa distribución</t>
  </si>
  <si>
    <t>MIPYMES</t>
  </si>
  <si>
    <t>IPIM</t>
  </si>
  <si>
    <t>AJUSTE TARIFAS ELECTRICIDAD</t>
  </si>
  <si>
    <t>PATAGONIA</t>
  </si>
  <si>
    <t>Datos a noviembre 2017</t>
  </si>
  <si>
    <t>MiPyMes</t>
  </si>
  <si>
    <t>Sin Proyecto</t>
  </si>
  <si>
    <t>Con Proyecto</t>
  </si>
  <si>
    <t>Diferencia</t>
  </si>
  <si>
    <t>AMBA</t>
  </si>
  <si>
    <t>Gas Natural</t>
  </si>
  <si>
    <t>Electricidad</t>
  </si>
  <si>
    <t>Consumo total de gas natural por redes (millones de BTU):</t>
  </si>
  <si>
    <t>Gas natural</t>
  </si>
  <si>
    <t>Transporte y distribución</t>
  </si>
  <si>
    <t>Total (sin IVA)</t>
  </si>
  <si>
    <t>Precios a Nov-17</t>
  </si>
  <si>
    <t>Precios según Proyecto</t>
  </si>
  <si>
    <t>Participación de Transporte y Distribución en la Tarifa (sin IVA)</t>
  </si>
  <si>
    <t>Consumo físico (millones de BTU)</t>
  </si>
  <si>
    <t>en USD</t>
  </si>
  <si>
    <t>en $</t>
  </si>
  <si>
    <t>millones de USD</t>
  </si>
  <si>
    <t>millones de $</t>
  </si>
  <si>
    <t>Subsidio Producto</t>
  </si>
  <si>
    <t>Alícuota IVA</t>
  </si>
  <si>
    <t>Transporte y distribución de gas (total país)</t>
  </si>
  <si>
    <t>Distribución de electricidad (AMBA)</t>
  </si>
  <si>
    <t>Consumo Residencial con Tarifa Plena</t>
  </si>
  <si>
    <t>Consumo Residencial Patagonia</t>
  </si>
  <si>
    <t>Consumo MiPyMEs</t>
  </si>
  <si>
    <t>Participación de Consumo Residencial con Tarifa Plena</t>
  </si>
  <si>
    <t>Sector Gas Natural: Estimación de Impacto Fiscal en 2018</t>
  </si>
  <si>
    <t>Sector Eléctrico: Estimación de Impacto Fiscal en 2018</t>
  </si>
  <si>
    <t>Precios a Nov-2017</t>
  </si>
  <si>
    <t>Generación y Transporte</t>
  </si>
  <si>
    <r>
      <rPr>
        <sz val="10"/>
        <color theme="1"/>
        <rFont val="Calibri"/>
        <family val="2"/>
      </rPr>
      <t>Componentes de la tarifa final</t>
    </r>
    <r>
      <rPr>
        <i/>
        <sz val="10"/>
        <color theme="1"/>
        <rFont val="Calibri"/>
        <family val="2"/>
        <scheme val="minor"/>
      </rPr>
      <t xml:space="preserve">
Valores en $ por MWh</t>
    </r>
  </si>
  <si>
    <r>
      <rPr>
        <sz val="10"/>
        <color theme="1"/>
        <rFont val="Calibri"/>
        <family val="2"/>
      </rPr>
      <t xml:space="preserve">Componentes de la tarifa final
</t>
    </r>
    <r>
      <rPr>
        <i/>
        <sz val="10"/>
        <color theme="1"/>
        <rFont val="Calibri"/>
        <family val="2"/>
        <scheme val="minor"/>
      </rPr>
      <t xml:space="preserve">Valores en $ o US$ por millón de BTU </t>
    </r>
  </si>
  <si>
    <t>Participación de AMBA en consumo total</t>
  </si>
  <si>
    <t>Consumo físico (GWh)</t>
  </si>
  <si>
    <t>Consumo total de energía eléctrica (GWh):</t>
  </si>
  <si>
    <t>Participación Consumo Comercial</t>
  </si>
  <si>
    <t>Tramo Generación y Transporte (Total país)</t>
  </si>
  <si>
    <t>Tramo Distribución (sólo AMBA)</t>
  </si>
  <si>
    <t>INCREMENTO DE SUBSIDIO</t>
  </si>
  <si>
    <t>Participación de Consumo Residencial Patagonia</t>
  </si>
  <si>
    <t>INCREMENTO DE SUBSIDIOS A LA ENERGÍA (I)</t>
  </si>
  <si>
    <t>COSTO FISCAL AGREGADO (I+II)</t>
  </si>
  <si>
    <t>PÉRDIDA DE RECAUDACIÓN DE IVA</t>
  </si>
  <si>
    <t>Promedio 2017</t>
  </si>
  <si>
    <t>Participación de Consumo Comercial</t>
  </si>
  <si>
    <t>Participación de segmento de Distribución en la Tarifa (sin IVA) - Total País</t>
  </si>
  <si>
    <t>Participación de segmento de Distribución en la Tarifa (sin IVA) - AMBA</t>
  </si>
  <si>
    <t>Tarifa distribución AMBA</t>
  </si>
  <si>
    <t>Participación TyD en Tarifa (sin IVA)</t>
  </si>
  <si>
    <t>Residencial</t>
  </si>
  <si>
    <t>Residencial Patagonia</t>
  </si>
  <si>
    <t>Segmento Producto</t>
  </si>
  <si>
    <t>Segmento Transporte y Distribución</t>
  </si>
  <si>
    <t>Segmento Generación y Transporte</t>
  </si>
  <si>
    <t>Segmento Distribución AMBA</t>
  </si>
  <si>
    <t>RESIDENCIAL (Tarifa Plena)</t>
  </si>
  <si>
    <t>ajuste</t>
  </si>
  <si>
    <t>2018(p) Situación actual</t>
  </si>
  <si>
    <t>Escenario base</t>
  </si>
  <si>
    <t>Costo fiscal</t>
  </si>
  <si>
    <t>Producción / Generación*</t>
  </si>
  <si>
    <t>* En el caso de electricidad incluye transporte</t>
  </si>
  <si>
    <t>No incluye costo fiscal asociado a los cambios a la tarifa social por:</t>
  </si>
  <si>
    <t>Expansión del universo de beneficiarios</t>
  </si>
  <si>
    <t>Baja de alícuota de IVA</t>
  </si>
  <si>
    <t xml:space="preserve">Reducción de tarifas a los beneficiarios </t>
  </si>
  <si>
    <t>Estimación del costo fiscal del Poyecto de ley de emergencia tarifaria sobre el sector energético</t>
  </si>
  <si>
    <t>PÉRDIDA DE RECAUDACIÓN DE IVA SECTOR ENERGÍA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</si>
</sst>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$&quot;#,##0_);\(&quot;$&quot;#,##0\)"/>
    <numFmt numFmtId="165" formatCode="&quot;$&quot;#,##0.00_);\(&quot;$&quot;#,##0.00\)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0.0%"/>
    <numFmt numFmtId="169" formatCode="_ &quot;$&quot;\ * #,##0_ ;_ &quot;$&quot;\ * \-#,##0_ ;_ &quot;$&quot;\ * &quot;-&quot;??_ ;_ @_ "/>
    <numFmt numFmtId="170" formatCode="0____"/>
    <numFmt numFmtId="171" formatCode="_ * #,##0_ ;_ * \-#,##0_ ;_ * &quot;-&quot;??_ ;_ @_ "/>
    <numFmt numFmtId="172" formatCode="#,##0.0"/>
    <numFmt numFmtId="173" formatCode="[$USD]\ #,##0.00;[$USD]\ \-#,##0.00"/>
    <numFmt numFmtId="174" formatCode="[$USD]\ #,##0;[$USD]\ \-#,##0"/>
    <numFmt numFmtId="175" formatCode="[$USD]\ #,##0.0;[$USD]\ \-#,##0.0"/>
    <numFmt numFmtId="176" formatCode="_ * #,##0.0_ ;_ * \-#,##0.0_ ;_ * &quot;-&quot;??_ ;_ @_ "/>
    <numFmt numFmtId="177" formatCode="_ * #,##0.000_ ;_ * \-#,##0.000_ ;_ * &quot;-&quot;??_ ;_ @_ "/>
    <numFmt numFmtId="178" formatCode="_ &quot;$&quot;\ * #,##0.0_ ;_ &quot;$&quot;\ * \-#,##0.0_ ;_ &quot;$&quot;\ * &quot;-&quot;??_ ;_ @_ "/>
    <numFmt numFmtId="179" formatCode="&quot;$&quot;#,##0.0_);\(&quot;$&quot;#,##0.0\)"/>
    <numFmt numFmtId="180" formatCode="&quot;$&quot;#,##0.00"/>
    <numFmt numFmtId="181" formatCode="&quot;$&quot;#,##0.0"/>
    <numFmt numFmtId="182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 style="dashed">
        <color auto="1"/>
      </right>
      <top style="dashed">
        <color theme="0" tint="-0.1499679555650502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168" fontId="0" fillId="0" borderId="0" xfId="3" applyNumberFormat="1" applyFont="1"/>
    <xf numFmtId="0" fontId="0" fillId="0" borderId="0" xfId="0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170" fontId="6" fillId="0" borderId="11" xfId="1" applyNumberFormat="1" applyFont="1" applyBorder="1" applyAlignment="1">
      <alignment horizontal="center"/>
    </xf>
    <xf numFmtId="170" fontId="7" fillId="0" borderId="11" xfId="1" applyNumberFormat="1" applyFont="1" applyBorder="1" applyAlignment="1">
      <alignment horizontal="center"/>
    </xf>
    <xf numFmtId="170" fontId="6" fillId="0" borderId="12" xfId="1" applyNumberFormat="1" applyFont="1" applyBorder="1"/>
    <xf numFmtId="168" fontId="6" fillId="0" borderId="0" xfId="3" applyNumberFormat="1" applyFont="1" applyBorder="1"/>
    <xf numFmtId="171" fontId="6" fillId="0" borderId="0" xfId="1" applyNumberFormat="1" applyFont="1" applyBorder="1"/>
    <xf numFmtId="17" fontId="0" fillId="0" borderId="0" xfId="0" applyNumberFormat="1"/>
    <xf numFmtId="171" fontId="6" fillId="3" borderId="0" xfId="1" applyNumberFormat="1" applyFont="1" applyFill="1" applyBorder="1"/>
    <xf numFmtId="166" fontId="5" fillId="2" borderId="3" xfId="2" applyFont="1" applyFill="1" applyBorder="1"/>
    <xf numFmtId="171" fontId="0" fillId="0" borderId="0" xfId="1" applyNumberFormat="1" applyFont="1"/>
    <xf numFmtId="9" fontId="0" fillId="0" borderId="0" xfId="3" applyFont="1"/>
    <xf numFmtId="0" fontId="0" fillId="0" borderId="0" xfId="0" applyFill="1"/>
    <xf numFmtId="0" fontId="2" fillId="0" borderId="0" xfId="0" applyFont="1"/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173" fontId="0" fillId="0" borderId="15" xfId="2" applyNumberFormat="1" applyFont="1" applyBorder="1"/>
    <xf numFmtId="173" fontId="0" fillId="0" borderId="0" xfId="2" applyNumberFormat="1" applyFont="1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169" fontId="0" fillId="0" borderId="15" xfId="2" applyNumberFormat="1" applyFont="1" applyBorder="1"/>
    <xf numFmtId="169" fontId="0" fillId="0" borderId="16" xfId="2" applyNumberFormat="1" applyFont="1" applyBorder="1"/>
    <xf numFmtId="171" fontId="0" fillId="0" borderId="0" xfId="1" applyNumberFormat="1" applyFont="1" applyBorder="1"/>
    <xf numFmtId="0" fontId="0" fillId="0" borderId="0" xfId="0" applyFont="1"/>
    <xf numFmtId="172" fontId="0" fillId="0" borderId="0" xfId="0" applyNumberFormat="1" applyFont="1"/>
    <xf numFmtId="3" fontId="0" fillId="0" borderId="0" xfId="0" applyNumberFormat="1" applyFont="1"/>
    <xf numFmtId="0" fontId="0" fillId="5" borderId="7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0" xfId="0" applyFont="1" applyFill="1"/>
    <xf numFmtId="0" fontId="8" fillId="5" borderId="0" xfId="0" applyFont="1" applyFill="1" applyAlignment="1">
      <alignment horizontal="left" indent="2"/>
    </xf>
    <xf numFmtId="0" fontId="0" fillId="5" borderId="17" xfId="0" applyFont="1" applyFill="1" applyBorder="1"/>
    <xf numFmtId="0" fontId="0" fillId="5" borderId="0" xfId="0" applyFont="1" applyFill="1" applyBorder="1"/>
    <xf numFmtId="0" fontId="0" fillId="5" borderId="17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Border="1"/>
    <xf numFmtId="171" fontId="2" fillId="2" borderId="13" xfId="1" applyNumberFormat="1" applyFont="1" applyFill="1" applyBorder="1"/>
    <xf numFmtId="171" fontId="2" fillId="2" borderId="14" xfId="1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174" fontId="2" fillId="2" borderId="14" xfId="1" applyNumberFormat="1" applyFont="1" applyFill="1" applyBorder="1"/>
    <xf numFmtId="166" fontId="2" fillId="2" borderId="3" xfId="2" applyFont="1" applyFill="1" applyBorder="1"/>
    <xf numFmtId="174" fontId="2" fillId="2" borderId="13" xfId="1" applyNumberFormat="1" applyFont="1" applyFill="1" applyBorder="1"/>
    <xf numFmtId="166" fontId="5" fillId="2" borderId="3" xfId="0" applyNumberFormat="1" applyFont="1" applyFill="1" applyBorder="1"/>
    <xf numFmtId="0" fontId="0" fillId="5" borderId="19" xfId="0" applyFont="1" applyFill="1" applyBorder="1" applyAlignment="1">
      <alignment horizontal="centerContinuous" vertical="center"/>
    </xf>
    <xf numFmtId="0" fontId="0" fillId="5" borderId="20" xfId="0" applyFont="1" applyFill="1" applyBorder="1" applyAlignment="1">
      <alignment horizontal="centerContinuous" vertical="center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172" fontId="0" fillId="5" borderId="23" xfId="0" applyNumberFormat="1" applyFont="1" applyFill="1" applyBorder="1" applyAlignment="1">
      <alignment horizontal="center" vertical="center"/>
    </xf>
    <xf numFmtId="9" fontId="0" fillId="5" borderId="24" xfId="0" applyNumberFormat="1" applyFont="1" applyFill="1" applyBorder="1" applyAlignment="1">
      <alignment horizontal="center" vertical="center"/>
    </xf>
    <xf numFmtId="172" fontId="8" fillId="5" borderId="23" xfId="0" applyNumberFormat="1" applyFont="1" applyFill="1" applyBorder="1" applyAlignment="1">
      <alignment horizontal="center" vertical="center"/>
    </xf>
    <xf numFmtId="9" fontId="8" fillId="5" borderId="24" xfId="0" applyNumberFormat="1" applyFont="1" applyFill="1" applyBorder="1" applyAlignment="1">
      <alignment horizontal="center" vertical="center"/>
    </xf>
    <xf numFmtId="172" fontId="0" fillId="5" borderId="25" xfId="0" applyNumberFormat="1" applyFont="1" applyFill="1" applyBorder="1" applyAlignment="1">
      <alignment horizontal="center" vertical="center"/>
    </xf>
    <xf numFmtId="9" fontId="0" fillId="5" borderId="26" xfId="0" applyNumberFormat="1" applyFont="1" applyFill="1" applyBorder="1" applyAlignment="1">
      <alignment horizontal="center" vertical="center"/>
    </xf>
    <xf numFmtId="167" fontId="2" fillId="5" borderId="27" xfId="1" applyFont="1" applyFill="1" applyBorder="1" applyAlignment="1">
      <alignment horizontal="center" vertical="center"/>
    </xf>
    <xf numFmtId="167" fontId="2" fillId="5" borderId="28" xfId="1" applyFont="1" applyFill="1" applyBorder="1" applyAlignment="1">
      <alignment horizontal="center" vertical="center"/>
    </xf>
    <xf numFmtId="168" fontId="0" fillId="5" borderId="24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6" fontId="0" fillId="0" borderId="0" xfId="2" applyFont="1"/>
    <xf numFmtId="166" fontId="0" fillId="0" borderId="0" xfId="2" applyFont="1" applyFill="1"/>
    <xf numFmtId="14" fontId="0" fillId="0" borderId="0" xfId="0" applyNumberFormat="1"/>
    <xf numFmtId="176" fontId="0" fillId="0" borderId="0" xfId="1" applyNumberFormat="1" applyFont="1"/>
    <xf numFmtId="176" fontId="0" fillId="0" borderId="0" xfId="1" applyNumberFormat="1" applyFont="1" applyFill="1"/>
    <xf numFmtId="177" fontId="0" fillId="0" borderId="0" xfId="1" applyNumberFormat="1" applyFont="1"/>
    <xf numFmtId="0" fontId="2" fillId="0" borderId="0" xfId="0" applyFont="1" applyBorder="1"/>
    <xf numFmtId="177" fontId="0" fillId="0" borderId="0" xfId="1" applyNumberFormat="1" applyFont="1" applyFill="1"/>
    <xf numFmtId="0" fontId="0" fillId="0" borderId="0" xfId="0" applyFill="1" applyBorder="1"/>
    <xf numFmtId="9" fontId="0" fillId="0" borderId="0" xfId="0" applyNumberFormat="1" applyBorder="1"/>
    <xf numFmtId="0" fontId="0" fillId="0" borderId="0" xfId="0" applyAlignment="1">
      <alignment vertical="center"/>
    </xf>
    <xf numFmtId="0" fontId="11" fillId="10" borderId="6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169" fontId="5" fillId="9" borderId="13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169" fontId="5" fillId="9" borderId="3" xfId="0" applyNumberFormat="1" applyFont="1" applyFill="1" applyBorder="1" applyAlignment="1">
      <alignment vertical="center"/>
    </xf>
    <xf numFmtId="0" fontId="12" fillId="8" borderId="31" xfId="0" applyFont="1" applyFill="1" applyBorder="1" applyAlignment="1">
      <alignment horizontal="left" vertical="center" indent="1"/>
    </xf>
    <xf numFmtId="169" fontId="8" fillId="8" borderId="32" xfId="0" applyNumberFormat="1" applyFont="1" applyFill="1" applyBorder="1" applyAlignment="1">
      <alignment vertical="center"/>
    </xf>
    <xf numFmtId="0" fontId="12" fillId="8" borderId="34" xfId="0" applyFont="1" applyFill="1" applyBorder="1" applyAlignment="1">
      <alignment horizontal="left" vertical="center" indent="1"/>
    </xf>
    <xf numFmtId="169" fontId="8" fillId="8" borderId="33" xfId="0" applyNumberFormat="1" applyFont="1" applyFill="1" applyBorder="1" applyAlignment="1">
      <alignment vertical="center"/>
    </xf>
    <xf numFmtId="0" fontId="12" fillId="8" borderId="4" xfId="0" applyFont="1" applyFill="1" applyBorder="1" applyAlignment="1">
      <alignment horizontal="left" vertical="center" indent="1"/>
    </xf>
    <xf numFmtId="169" fontId="8" fillId="8" borderId="14" xfId="0" applyNumberFormat="1" applyFont="1" applyFill="1" applyBorder="1" applyAlignment="1">
      <alignment vertical="center"/>
    </xf>
    <xf numFmtId="169" fontId="8" fillId="8" borderId="30" xfId="0" applyNumberFormat="1" applyFont="1" applyFill="1" applyBorder="1" applyAlignment="1">
      <alignment vertical="center"/>
    </xf>
    <xf numFmtId="169" fontId="11" fillId="10" borderId="1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71" fontId="0" fillId="0" borderId="0" xfId="1" applyNumberFormat="1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66" fontId="0" fillId="0" borderId="0" xfId="2" applyFont="1" applyFill="1" applyBorder="1" applyAlignment="1">
      <alignment vertical="center"/>
    </xf>
    <xf numFmtId="173" fontId="0" fillId="0" borderId="0" xfId="2" applyNumberFormat="1" applyFont="1" applyFill="1" applyBorder="1" applyAlignment="1">
      <alignment vertical="center"/>
    </xf>
    <xf numFmtId="178" fontId="0" fillId="0" borderId="0" xfId="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5" fontId="10" fillId="0" borderId="0" xfId="2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5" fontId="10" fillId="0" borderId="0" xfId="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2" fillId="0" borderId="0" xfId="2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0" fontId="16" fillId="8" borderId="35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173" fontId="10" fillId="0" borderId="0" xfId="2" applyNumberFormat="1" applyFont="1" applyFill="1" applyBorder="1" applyAlignment="1">
      <alignment vertical="center"/>
    </xf>
    <xf numFmtId="179" fontId="10" fillId="0" borderId="0" xfId="2" applyNumberFormat="1" applyFont="1" applyFill="1" applyBorder="1" applyAlignment="1">
      <alignment vertical="center"/>
    </xf>
    <xf numFmtId="166" fontId="10" fillId="0" borderId="0" xfId="2" applyFont="1" applyFill="1" applyBorder="1" applyAlignment="1">
      <alignment vertical="center"/>
    </xf>
    <xf numFmtId="173" fontId="10" fillId="11" borderId="0" xfId="2" applyNumberFormat="1" applyFont="1" applyFill="1" applyBorder="1" applyAlignment="1">
      <alignment vertical="center"/>
    </xf>
    <xf numFmtId="179" fontId="10" fillId="11" borderId="0" xfId="2" applyNumberFormat="1" applyFont="1" applyFill="1" applyBorder="1" applyAlignment="1">
      <alignment vertical="center"/>
    </xf>
    <xf numFmtId="166" fontId="10" fillId="11" borderId="0" xfId="2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11" borderId="0" xfId="2" applyNumberFormat="1" applyFont="1" applyFill="1" applyBorder="1" applyAlignment="1">
      <alignment vertical="center"/>
    </xf>
    <xf numFmtId="9" fontId="10" fillId="6" borderId="0" xfId="3" applyFont="1" applyFill="1" applyBorder="1" applyAlignment="1">
      <alignment vertical="center"/>
    </xf>
    <xf numFmtId="166" fontId="10" fillId="0" borderId="0" xfId="0" applyNumberFormat="1" applyFont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9" fontId="10" fillId="0" borderId="0" xfId="3" applyFont="1" applyFill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2" applyNumberFormat="1" applyFont="1" applyFill="1"/>
    <xf numFmtId="175" fontId="16" fillId="0" borderId="0" xfId="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8" fontId="16" fillId="0" borderId="0" xfId="2" applyNumberFormat="1" applyFont="1" applyFill="1" applyBorder="1" applyAlignment="1">
      <alignment vertical="center"/>
    </xf>
    <xf numFmtId="169" fontId="17" fillId="0" borderId="0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indent="1"/>
    </xf>
    <xf numFmtId="173" fontId="10" fillId="6" borderId="0" xfId="2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11" borderId="15" xfId="0" applyFont="1" applyFill="1" applyBorder="1" applyAlignment="1">
      <alignment vertical="center"/>
    </xf>
    <xf numFmtId="165" fontId="16" fillId="0" borderId="16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 indent="1"/>
    </xf>
    <xf numFmtId="179" fontId="16" fillId="0" borderId="16" xfId="0" applyNumberFormat="1" applyFont="1" applyFill="1" applyBorder="1" applyAlignment="1">
      <alignment vertical="center"/>
    </xf>
    <xf numFmtId="179" fontId="10" fillId="0" borderId="16" xfId="0" applyNumberFormat="1" applyFont="1" applyFill="1" applyBorder="1" applyAlignment="1">
      <alignment vertical="center"/>
    </xf>
    <xf numFmtId="171" fontId="0" fillId="0" borderId="7" xfId="1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9" fontId="10" fillId="0" borderId="16" xfId="2" applyNumberFormat="1" applyFont="1" applyFill="1" applyBorder="1" applyAlignment="1">
      <alignment vertical="center"/>
    </xf>
    <xf numFmtId="179" fontId="10" fillId="11" borderId="16" xfId="2" applyNumberFormat="1" applyFont="1" applyFill="1" applyBorder="1" applyAlignment="1">
      <alignment vertical="center"/>
    </xf>
    <xf numFmtId="9" fontId="10" fillId="6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9" fontId="10" fillId="0" borderId="5" xfId="2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82" fontId="16" fillId="0" borderId="0" xfId="2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9" fontId="17" fillId="0" borderId="0" xfId="2" applyNumberFormat="1" applyFont="1" applyFill="1" applyAlignment="1">
      <alignment vertical="center"/>
    </xf>
    <xf numFmtId="169" fontId="18" fillId="0" borderId="0" xfId="2" applyNumberFormat="1" applyFont="1" applyFill="1" applyAlignment="1">
      <alignment vertical="center"/>
    </xf>
    <xf numFmtId="171" fontId="10" fillId="0" borderId="0" xfId="1" applyNumberFormat="1" applyFont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 wrapText="1"/>
    </xf>
    <xf numFmtId="182" fontId="17" fillId="0" borderId="0" xfId="2" applyNumberFormat="1" applyFont="1" applyFill="1" applyAlignment="1">
      <alignment vertical="center"/>
    </xf>
    <xf numFmtId="182" fontId="18" fillId="0" borderId="0" xfId="2" applyNumberFormat="1" applyFont="1" applyFill="1" applyAlignment="1">
      <alignment vertical="center"/>
    </xf>
    <xf numFmtId="182" fontId="10" fillId="0" borderId="0" xfId="0" applyNumberFormat="1" applyFont="1" applyAlignment="1">
      <alignment vertical="center"/>
    </xf>
    <xf numFmtId="182" fontId="16" fillId="2" borderId="7" xfId="0" applyNumberFormat="1" applyFont="1" applyFill="1" applyBorder="1" applyAlignment="1">
      <alignment vertical="center"/>
    </xf>
    <xf numFmtId="182" fontId="16" fillId="2" borderId="13" xfId="0" applyNumberFormat="1" applyFont="1" applyFill="1" applyBorder="1" applyAlignment="1">
      <alignment vertical="center"/>
    </xf>
    <xf numFmtId="182" fontId="10" fillId="2" borderId="13" xfId="0" applyNumberFormat="1" applyFont="1" applyFill="1" applyBorder="1" applyAlignment="1">
      <alignment vertical="center"/>
    </xf>
    <xf numFmtId="182" fontId="16" fillId="2" borderId="5" xfId="0" applyNumberFormat="1" applyFont="1" applyFill="1" applyBorder="1" applyAlignment="1">
      <alignment vertical="center"/>
    </xf>
    <xf numFmtId="182" fontId="10" fillId="2" borderId="30" xfId="0" applyNumberFormat="1" applyFont="1" applyFill="1" applyBorder="1" applyAlignment="1">
      <alignment vertical="center"/>
    </xf>
    <xf numFmtId="182" fontId="16" fillId="2" borderId="2" xfId="0" applyNumberFormat="1" applyFont="1" applyFill="1" applyBorder="1" applyAlignment="1">
      <alignment vertical="center"/>
    </xf>
    <xf numFmtId="182" fontId="16" fillId="2" borderId="3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182" fontId="10" fillId="6" borderId="0" xfId="2" applyNumberFormat="1" applyFont="1" applyFill="1" applyBorder="1" applyAlignment="1">
      <alignment vertical="center"/>
    </xf>
    <xf numFmtId="182" fontId="10" fillId="0" borderId="0" xfId="2" applyNumberFormat="1" applyFont="1" applyFill="1" applyBorder="1" applyAlignment="1">
      <alignment vertical="center"/>
    </xf>
    <xf numFmtId="169" fontId="10" fillId="0" borderId="0" xfId="2" applyNumberFormat="1" applyFont="1" applyFill="1" applyBorder="1" applyAlignment="1">
      <alignment vertical="center"/>
    </xf>
    <xf numFmtId="182" fontId="10" fillId="0" borderId="16" xfId="2" applyNumberFormat="1" applyFont="1" applyFill="1" applyBorder="1" applyAlignment="1">
      <alignment vertical="center"/>
    </xf>
    <xf numFmtId="182" fontId="10" fillId="11" borderId="0" xfId="2" applyNumberFormat="1" applyFont="1" applyFill="1" applyBorder="1" applyAlignment="1">
      <alignment vertical="center"/>
    </xf>
    <xf numFmtId="169" fontId="10" fillId="11" borderId="0" xfId="2" applyNumberFormat="1" applyFont="1" applyFill="1" applyBorder="1" applyAlignment="1">
      <alignment vertical="center"/>
    </xf>
    <xf numFmtId="182" fontId="10" fillId="11" borderId="16" xfId="2" applyNumberFormat="1" applyFont="1" applyFill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71" fontId="10" fillId="7" borderId="0" xfId="1" applyNumberFormat="1" applyFont="1" applyFill="1" applyBorder="1" applyAlignment="1">
      <alignment vertical="center"/>
    </xf>
    <xf numFmtId="9" fontId="10" fillId="0" borderId="0" xfId="0" applyNumberFormat="1" applyFont="1" applyBorder="1" applyAlignment="1">
      <alignment vertical="center"/>
    </xf>
    <xf numFmtId="166" fontId="10" fillId="0" borderId="0" xfId="2" applyFont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82" fontId="16" fillId="0" borderId="16" xfId="2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82" fontId="16" fillId="0" borderId="5" xfId="2" applyNumberFormat="1" applyFont="1" applyFill="1" applyBorder="1" applyAlignment="1">
      <alignment vertical="center"/>
    </xf>
    <xf numFmtId="182" fontId="16" fillId="0" borderId="9" xfId="2" applyNumberFormat="1" applyFont="1" applyFill="1" applyBorder="1" applyAlignment="1">
      <alignment vertical="center"/>
    </xf>
    <xf numFmtId="0" fontId="10" fillId="8" borderId="39" xfId="0" applyFont="1" applyFill="1" applyBorder="1" applyAlignment="1">
      <alignment horizontal="center" vertical="center" wrapText="1"/>
    </xf>
    <xf numFmtId="164" fontId="10" fillId="6" borderId="0" xfId="2" applyNumberFormat="1" applyFont="1" applyFill="1" applyBorder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164" fontId="10" fillId="11" borderId="0" xfId="2" applyNumberFormat="1" applyFont="1" applyFill="1" applyBorder="1" applyAlignment="1">
      <alignment vertical="center"/>
    </xf>
    <xf numFmtId="169" fontId="16" fillId="0" borderId="5" xfId="2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82" fontId="10" fillId="0" borderId="40" xfId="2" applyNumberFormat="1" applyFont="1" applyFill="1" applyBorder="1" applyAlignment="1">
      <alignment vertical="center"/>
    </xf>
    <xf numFmtId="182" fontId="10" fillId="0" borderId="48" xfId="2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175" fontId="10" fillId="0" borderId="5" xfId="2" applyNumberFormat="1" applyFont="1" applyFill="1" applyBorder="1" applyAlignment="1">
      <alignment vertical="center"/>
    </xf>
    <xf numFmtId="180" fontId="16" fillId="0" borderId="9" xfId="2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179" fontId="16" fillId="0" borderId="9" xfId="2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164" fontId="10" fillId="2" borderId="13" xfId="0" applyNumberFormat="1" applyFont="1" applyFill="1" applyBorder="1" applyAlignment="1">
      <alignment vertical="center"/>
    </xf>
    <xf numFmtId="164" fontId="10" fillId="2" borderId="30" xfId="0" applyNumberFormat="1" applyFont="1" applyFill="1" applyBorder="1" applyAlignment="1">
      <alignment vertical="center"/>
    </xf>
    <xf numFmtId="164" fontId="16" fillId="2" borderId="3" xfId="0" applyNumberFormat="1" applyFont="1" applyFill="1" applyBorder="1" applyAlignment="1">
      <alignment vertical="center"/>
    </xf>
    <xf numFmtId="180" fontId="16" fillId="0" borderId="5" xfId="2" applyNumberFormat="1" applyFont="1" applyFill="1" applyBorder="1" applyAlignment="1">
      <alignment vertical="center"/>
    </xf>
    <xf numFmtId="180" fontId="16" fillId="0" borderId="5" xfId="0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20" fillId="5" borderId="7" xfId="0" applyFont="1" applyFill="1" applyBorder="1" applyAlignment="1">
      <alignment horizontal="left" vertical="center" indent="1"/>
    </xf>
    <xf numFmtId="0" fontId="20" fillId="5" borderId="0" xfId="0" applyFont="1" applyFill="1" applyBorder="1" applyAlignment="1">
      <alignment horizontal="left" vertical="center" indent="1"/>
    </xf>
    <xf numFmtId="0" fontId="12" fillId="5" borderId="0" xfId="0" applyFont="1" applyFill="1" applyBorder="1" applyAlignment="1">
      <alignment horizontal="left" vertical="center" indent="1"/>
    </xf>
    <xf numFmtId="0" fontId="12" fillId="5" borderId="0" xfId="0" applyFont="1" applyFill="1" applyBorder="1" applyAlignment="1">
      <alignment horizontal="left" vertical="center" indent="2"/>
    </xf>
    <xf numFmtId="0" fontId="0" fillId="5" borderId="49" xfId="0" applyFill="1" applyBorder="1"/>
    <xf numFmtId="0" fontId="15" fillId="5" borderId="40" xfId="0" applyFont="1" applyFill="1" applyBorder="1"/>
    <xf numFmtId="0" fontId="0" fillId="5" borderId="40" xfId="0" applyFill="1" applyBorder="1"/>
    <xf numFmtId="0" fontId="0" fillId="5" borderId="42" xfId="0" applyFill="1" applyBorder="1"/>
    <xf numFmtId="0" fontId="0" fillId="5" borderId="50" xfId="0" applyFill="1" applyBorder="1"/>
    <xf numFmtId="0" fontId="10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0" fillId="5" borderId="51" xfId="0" applyFill="1" applyBorder="1"/>
    <xf numFmtId="0" fontId="0" fillId="5" borderId="50" xfId="0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0" fontId="0" fillId="5" borderId="0" xfId="0" applyFill="1" applyBorder="1"/>
    <xf numFmtId="0" fontId="0" fillId="5" borderId="52" xfId="0" applyFill="1" applyBorder="1"/>
    <xf numFmtId="0" fontId="12" fillId="5" borderId="53" xfId="0" applyFont="1" applyFill="1" applyBorder="1" applyAlignment="1">
      <alignment horizontal="left" vertical="center" indent="2"/>
    </xf>
    <xf numFmtId="0" fontId="0" fillId="5" borderId="53" xfId="0" applyFill="1" applyBorder="1"/>
    <xf numFmtId="0" fontId="0" fillId="5" borderId="43" xfId="0" applyFill="1" applyBorder="1"/>
    <xf numFmtId="171" fontId="10" fillId="6" borderId="0" xfId="1" applyNumberFormat="1" applyFont="1" applyFill="1" applyAlignment="1">
      <alignment vertical="center"/>
    </xf>
    <xf numFmtId="168" fontId="10" fillId="6" borderId="0" xfId="2" applyNumberFormat="1" applyFont="1" applyFill="1" applyBorder="1" applyAlignment="1">
      <alignment vertical="center"/>
    </xf>
    <xf numFmtId="168" fontId="10" fillId="6" borderId="0" xfId="3" applyNumberFormat="1" applyFont="1" applyFill="1" applyBorder="1" applyAlignment="1">
      <alignment vertical="center"/>
    </xf>
    <xf numFmtId="0" fontId="17" fillId="8" borderId="44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left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left" vertical="center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F15"/>
  <sheetViews>
    <sheetView tabSelected="1" workbookViewId="0">
      <selection activeCell="B7" sqref="B7"/>
    </sheetView>
  </sheetViews>
  <sheetFormatPr baseColWidth="10" defaultColWidth="9.1640625" defaultRowHeight="14" x14ac:dyDescent="0"/>
  <cols>
    <col min="1" max="1" width="2.6640625" customWidth="1"/>
    <col min="2" max="2" width="62" customWidth="1"/>
    <col min="3" max="5" width="16.1640625" customWidth="1"/>
    <col min="6" max="6" width="2.83203125" customWidth="1"/>
  </cols>
  <sheetData>
    <row r="1" spans="1:6" ht="18">
      <c r="A1" s="242"/>
      <c r="B1" s="243" t="s">
        <v>121</v>
      </c>
      <c r="C1" s="244"/>
      <c r="D1" s="244"/>
      <c r="E1" s="244"/>
      <c r="F1" s="245"/>
    </row>
    <row r="2" spans="1:6" ht="15" thickBot="1">
      <c r="A2" s="246"/>
      <c r="B2" s="247" t="s">
        <v>35</v>
      </c>
      <c r="C2" s="248"/>
      <c r="D2" s="248"/>
      <c r="E2" s="248"/>
      <c r="F2" s="249"/>
    </row>
    <row r="3" spans="1:6" ht="30" customHeight="1" thickBot="1">
      <c r="A3" s="246"/>
      <c r="B3" s="20"/>
      <c r="C3" s="95" t="s">
        <v>59</v>
      </c>
      <c r="D3" s="97" t="s">
        <v>60</v>
      </c>
      <c r="E3" s="96" t="s">
        <v>11</v>
      </c>
      <c r="F3" s="249"/>
    </row>
    <row r="4" spans="1:6" s="81" customFormat="1" ht="22.5" customHeight="1" thickBot="1">
      <c r="A4" s="250"/>
      <c r="B4" s="82" t="s">
        <v>96</v>
      </c>
      <c r="C4" s="94">
        <f>+C5+C9</f>
        <v>27715.226972496421</v>
      </c>
      <c r="D4" s="94">
        <f>+D5+D9</f>
        <v>51948.64200738191</v>
      </c>
      <c r="E4" s="94">
        <f>+E5+E9</f>
        <v>79663.868979878331</v>
      </c>
      <c r="F4" s="251"/>
    </row>
    <row r="5" spans="1:6" s="81" customFormat="1" ht="22.5" customHeight="1" thickBot="1">
      <c r="A5" s="250"/>
      <c r="B5" s="83" t="s">
        <v>95</v>
      </c>
      <c r="C5" s="84">
        <f>+'Gas natural'!J67</f>
        <v>18185.444242687932</v>
      </c>
      <c r="D5" s="84">
        <f>+Electricidad!K48</f>
        <v>38828.318057126075</v>
      </c>
      <c r="E5" s="84">
        <f t="shared" ref="E5:E9" si="0">+D5+C5</f>
        <v>57013.762299814007</v>
      </c>
      <c r="F5" s="251"/>
    </row>
    <row r="6" spans="1:6" s="81" customFormat="1" ht="22.5" customHeight="1">
      <c r="A6" s="250"/>
      <c r="B6" s="87" t="s">
        <v>115</v>
      </c>
      <c r="C6" s="88">
        <f>+'Gas natural'!J68</f>
        <v>5484.6528400514871</v>
      </c>
      <c r="D6" s="88">
        <f>+Electricidad!K49</f>
        <v>33376.921797506475</v>
      </c>
      <c r="E6" s="88">
        <f t="shared" si="0"/>
        <v>38861.574637557962</v>
      </c>
      <c r="F6" s="251"/>
    </row>
    <row r="7" spans="1:6" s="81" customFormat="1" ht="22.5" customHeight="1">
      <c r="A7" s="250"/>
      <c r="B7" s="89" t="s">
        <v>75</v>
      </c>
      <c r="C7" s="90">
        <f>+'Gas natural'!J69</f>
        <v>12700.791402636449</v>
      </c>
      <c r="D7" s="90"/>
      <c r="E7" s="90">
        <f t="shared" si="0"/>
        <v>12700.791402636449</v>
      </c>
      <c r="F7" s="251"/>
    </row>
    <row r="8" spans="1:6" s="81" customFormat="1" ht="22.5" customHeight="1" thickBot="1">
      <c r="A8" s="250"/>
      <c r="B8" s="91" t="s">
        <v>76</v>
      </c>
      <c r="C8" s="92"/>
      <c r="D8" s="92">
        <f>+Electricidad!K50</f>
        <v>5451.3962596196052</v>
      </c>
      <c r="E8" s="93">
        <f t="shared" si="0"/>
        <v>5451.3962596196052</v>
      </c>
      <c r="F8" s="251"/>
    </row>
    <row r="9" spans="1:6" s="81" customFormat="1" ht="22.5" customHeight="1" thickBot="1">
      <c r="A9" s="250"/>
      <c r="B9" s="85" t="s">
        <v>122</v>
      </c>
      <c r="C9" s="86">
        <f>+'Gas natural'!J70</f>
        <v>9529.7827298084885</v>
      </c>
      <c r="D9" s="86">
        <f>+Electricidad!K51</f>
        <v>13120.323950255835</v>
      </c>
      <c r="E9" s="86">
        <f t="shared" si="0"/>
        <v>22650.106680064324</v>
      </c>
      <c r="F9" s="251"/>
    </row>
    <row r="10" spans="1:6">
      <c r="A10" s="246"/>
      <c r="B10" s="238" t="s">
        <v>116</v>
      </c>
      <c r="C10" s="252"/>
      <c r="D10" s="252"/>
      <c r="E10" s="252"/>
      <c r="F10" s="249"/>
    </row>
    <row r="11" spans="1:6">
      <c r="A11" s="246"/>
      <c r="B11" s="239"/>
      <c r="C11" s="252"/>
      <c r="D11" s="252"/>
      <c r="E11" s="252"/>
      <c r="F11" s="249"/>
    </row>
    <row r="12" spans="1:6" ht="15">
      <c r="A12" s="246"/>
      <c r="B12" s="240" t="s">
        <v>117</v>
      </c>
      <c r="C12" s="252"/>
      <c r="D12" s="252"/>
      <c r="E12" s="252"/>
      <c r="F12" s="249"/>
    </row>
    <row r="13" spans="1:6" ht="15">
      <c r="A13" s="246"/>
      <c r="B13" s="241" t="s">
        <v>120</v>
      </c>
      <c r="C13" s="252"/>
      <c r="D13" s="252"/>
      <c r="E13" s="252"/>
      <c r="F13" s="249"/>
    </row>
    <row r="14" spans="1:6" ht="15">
      <c r="A14" s="246"/>
      <c r="B14" s="241" t="s">
        <v>118</v>
      </c>
      <c r="C14" s="252"/>
      <c r="D14" s="252"/>
      <c r="E14" s="252"/>
      <c r="F14" s="249"/>
    </row>
    <row r="15" spans="1:6" ht="15">
      <c r="A15" s="253"/>
      <c r="B15" s="254" t="s">
        <v>119</v>
      </c>
      <c r="C15" s="255"/>
      <c r="D15" s="255"/>
      <c r="E15" s="255"/>
      <c r="F15" s="25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59999389629810485"/>
  </sheetPr>
  <dimension ref="A1:L70"/>
  <sheetViews>
    <sheetView workbookViewId="0">
      <selection activeCell="H52" sqref="H52"/>
    </sheetView>
  </sheetViews>
  <sheetFormatPr baseColWidth="10" defaultColWidth="9.1640625" defaultRowHeight="14" x14ac:dyDescent="0"/>
  <cols>
    <col min="1" max="1" width="3" style="81" customWidth="1"/>
    <col min="2" max="2" width="52.83203125" style="81" customWidth="1"/>
    <col min="3" max="3" width="11.33203125" style="81" customWidth="1"/>
    <col min="4" max="7" width="10.6640625" style="81" customWidth="1"/>
    <col min="8" max="8" width="12.6640625" style="81" bestFit="1" customWidth="1"/>
    <col min="9" max="10" width="12.5" style="81" customWidth="1"/>
    <col min="11" max="11" width="9.5" style="81" bestFit="1" customWidth="1"/>
    <col min="12" max="16384" width="9.1640625" style="81"/>
  </cols>
  <sheetData>
    <row r="1" spans="2:10" ht="18">
      <c r="B1" s="98" t="s">
        <v>81</v>
      </c>
    </row>
    <row r="2" spans="2:10">
      <c r="B2" s="99"/>
    </row>
    <row r="3" spans="2:10">
      <c r="B3" s="110" t="s">
        <v>61</v>
      </c>
      <c r="C3" s="257">
        <v>1745</v>
      </c>
    </row>
    <row r="4" spans="2:10" s="100" customFormat="1" ht="15" thickBot="1">
      <c r="B4" s="101"/>
      <c r="C4" s="102"/>
    </row>
    <row r="5" spans="2:10" s="100" customFormat="1">
      <c r="B5" s="152" t="s">
        <v>77</v>
      </c>
      <c r="C5" s="169"/>
      <c r="D5" s="170"/>
      <c r="E5" s="170"/>
      <c r="F5" s="170"/>
      <c r="G5" s="170"/>
      <c r="H5" s="170"/>
      <c r="I5" s="170"/>
      <c r="J5" s="171"/>
    </row>
    <row r="6" spans="2:10" ht="29.25" customHeight="1">
      <c r="B6" s="260" t="s">
        <v>86</v>
      </c>
      <c r="C6" s="124" t="s">
        <v>113</v>
      </c>
      <c r="D6" s="262" t="s">
        <v>65</v>
      </c>
      <c r="E6" s="262"/>
      <c r="F6" s="263" t="s">
        <v>66</v>
      </c>
      <c r="G6" s="263"/>
      <c r="H6" s="265" t="s">
        <v>74</v>
      </c>
      <c r="I6" s="263" t="s">
        <v>114</v>
      </c>
      <c r="J6" s="264"/>
    </row>
    <row r="7" spans="2:10" s="110" customFormat="1" ht="16.5" customHeight="1">
      <c r="B7" s="261"/>
      <c r="C7" s="142" t="s">
        <v>69</v>
      </c>
      <c r="D7" s="142" t="s">
        <v>69</v>
      </c>
      <c r="E7" s="142" t="s">
        <v>70</v>
      </c>
      <c r="F7" s="142" t="s">
        <v>69</v>
      </c>
      <c r="G7" s="142" t="s">
        <v>70</v>
      </c>
      <c r="H7" s="266"/>
      <c r="I7" s="142" t="s">
        <v>69</v>
      </c>
      <c r="J7" s="155" t="s">
        <v>70</v>
      </c>
    </row>
    <row r="8" spans="2:10" s="110" customFormat="1" ht="16.5" customHeight="1">
      <c r="B8" s="156" t="s">
        <v>62</v>
      </c>
      <c r="C8" s="157">
        <v>5.01</v>
      </c>
      <c r="D8" s="157">
        <v>4.3</v>
      </c>
      <c r="E8" s="127">
        <f>+D8*'Hoja de datos'!$B$14</f>
        <v>75.986589999999993</v>
      </c>
      <c r="F8" s="126">
        <f>G8/'Hoja de datos'!$B$16</f>
        <v>4.3971695764102243</v>
      </c>
      <c r="G8" s="127">
        <f>+'Hoja de datos'!E29</f>
        <v>92.164674321558309</v>
      </c>
      <c r="H8" s="128"/>
      <c r="I8" s="126">
        <f>+C8-F8</f>
        <v>0.61283042358977546</v>
      </c>
      <c r="J8" s="172">
        <f>I8*'Hoja de datos'!$B$16</f>
        <v>12.844925678441694</v>
      </c>
    </row>
    <row r="9" spans="2:10" s="110" customFormat="1" ht="16.5" customHeight="1">
      <c r="B9" s="156" t="s">
        <v>63</v>
      </c>
      <c r="C9" s="126">
        <f>C8*$C$14/(1-$C$14)</f>
        <v>5.4275000000000002</v>
      </c>
      <c r="D9" s="126">
        <f>D8*$D$14/(1-$D$14)</f>
        <v>3.6629629629629625</v>
      </c>
      <c r="E9" s="127">
        <f>+D9*'Hoja de datos'!$B$14</f>
        <v>64.729317407407393</v>
      </c>
      <c r="F9" s="126">
        <f>G9/'Hoja de datos'!$B$16</f>
        <v>3.7457370465716737</v>
      </c>
      <c r="G9" s="127">
        <f>+'Hoja de datos'!E30</f>
        <v>78.510648496142281</v>
      </c>
      <c r="H9" s="128"/>
      <c r="I9" s="126">
        <f>+C9-F9</f>
        <v>1.6817629534283265</v>
      </c>
      <c r="J9" s="172">
        <f>I9*'Hoja de datos'!$B$16</f>
        <v>35.249751503857723</v>
      </c>
    </row>
    <row r="10" spans="2:10" s="110" customFormat="1" ht="16.5" customHeight="1">
      <c r="B10" s="156" t="s">
        <v>64</v>
      </c>
      <c r="C10" s="126">
        <f>+C8+C9</f>
        <v>10.4375</v>
      </c>
      <c r="D10" s="126">
        <f>+D8+D9</f>
        <v>7.9629629629629619</v>
      </c>
      <c r="E10" s="127">
        <f>+D10*'Hoja de datos'!$B$14</f>
        <v>140.71590740740737</v>
      </c>
      <c r="F10" s="126">
        <f>+F9+F8</f>
        <v>8.1429066229818972</v>
      </c>
      <c r="G10" s="127">
        <f>+F10*'Hoja de datos'!B16</f>
        <v>170.67532281770056</v>
      </c>
      <c r="H10" s="128"/>
      <c r="I10" s="126"/>
      <c r="J10" s="172"/>
    </row>
    <row r="11" spans="2:10" s="110" customFormat="1" ht="16.5" customHeight="1">
      <c r="B11" s="156" t="s">
        <v>34</v>
      </c>
      <c r="C11" s="126">
        <f>+C10*0.21</f>
        <v>2.191875</v>
      </c>
      <c r="D11" s="126">
        <f>+D10*0.21</f>
        <v>1.6722222222222218</v>
      </c>
      <c r="E11" s="127">
        <f>+D11*'Hoja de datos'!$B$14</f>
        <v>29.550340555555547</v>
      </c>
      <c r="F11" s="126">
        <f>+F10*H11</f>
        <v>0.85500519541309916</v>
      </c>
      <c r="G11" s="127">
        <f>+F11*'Hoja de datos'!$B$16</f>
        <v>17.92090889585856</v>
      </c>
      <c r="H11" s="258">
        <v>0.105</v>
      </c>
      <c r="I11" s="126">
        <f>+C11-F11</f>
        <v>1.3368698045869007</v>
      </c>
      <c r="J11" s="172">
        <f>I11*'Hoja de datos'!$B$16</f>
        <v>28.020791104141441</v>
      </c>
    </row>
    <row r="12" spans="2:10" s="110" customFormat="1" ht="20.25" customHeight="1">
      <c r="B12" s="159" t="s">
        <v>36</v>
      </c>
      <c r="C12" s="129">
        <f>+C11+C10</f>
        <v>12.629375</v>
      </c>
      <c r="D12" s="129">
        <f>+D11+D10</f>
        <v>9.6351851851851844</v>
      </c>
      <c r="E12" s="130">
        <f>+D12*'Hoja de datos'!$B$14</f>
        <v>170.26624796296295</v>
      </c>
      <c r="F12" s="129">
        <f>+F11+F10</f>
        <v>8.9979118183949964</v>
      </c>
      <c r="G12" s="130">
        <f>+F12*'Hoja de datos'!$B$16</f>
        <v>188.59623171355912</v>
      </c>
      <c r="H12" s="131"/>
      <c r="I12" s="129">
        <f>+C12-F12</f>
        <v>3.6314631816050031</v>
      </c>
      <c r="J12" s="173">
        <f>I12*'Hoja de datos'!$B$16</f>
        <v>76.115468286440873</v>
      </c>
    </row>
    <row r="13" spans="2:10">
      <c r="B13" s="104"/>
      <c r="C13" s="108"/>
      <c r="D13" s="108"/>
      <c r="E13" s="109"/>
      <c r="F13" s="108"/>
      <c r="G13" s="107"/>
      <c r="H13" s="107"/>
      <c r="I13" s="108"/>
      <c r="J13" s="164"/>
    </row>
    <row r="14" spans="2:10">
      <c r="B14" s="154" t="s">
        <v>67</v>
      </c>
      <c r="C14" s="174">
        <v>0.52</v>
      </c>
      <c r="D14" s="174">
        <v>0.46</v>
      </c>
      <c r="E14" s="105"/>
      <c r="F14" s="105"/>
      <c r="G14" s="105"/>
      <c r="H14" s="105"/>
      <c r="I14" s="105"/>
      <c r="J14" s="164"/>
    </row>
    <row r="15" spans="2:10">
      <c r="B15" s="154" t="s">
        <v>80</v>
      </c>
      <c r="C15" s="134">
        <v>0.15</v>
      </c>
      <c r="D15" s="105"/>
      <c r="E15" s="105"/>
      <c r="F15" s="105"/>
      <c r="G15" s="105"/>
      <c r="H15" s="105"/>
      <c r="I15" s="105"/>
      <c r="J15" s="164"/>
    </row>
    <row r="16" spans="2:10">
      <c r="B16" s="154" t="s">
        <v>68</v>
      </c>
      <c r="C16" s="165">
        <f>+$C$3*C15</f>
        <v>261.75</v>
      </c>
      <c r="D16" s="105"/>
      <c r="E16" s="105"/>
      <c r="F16" s="105"/>
      <c r="G16" s="105"/>
      <c r="H16" s="105"/>
      <c r="I16" s="105"/>
      <c r="J16" s="164"/>
    </row>
    <row r="17" spans="1:10">
      <c r="A17" s="105"/>
      <c r="B17" s="104"/>
      <c r="C17" s="105"/>
      <c r="D17" s="105"/>
      <c r="E17" s="105"/>
      <c r="F17" s="105"/>
      <c r="G17" s="105"/>
      <c r="H17" s="105"/>
      <c r="I17" s="185" t="s">
        <v>71</v>
      </c>
      <c r="J17" s="216" t="s">
        <v>72</v>
      </c>
    </row>
    <row r="18" spans="1:10">
      <c r="A18" s="104"/>
      <c r="B18" s="222" t="s">
        <v>93</v>
      </c>
      <c r="C18" s="112"/>
      <c r="D18" s="112"/>
      <c r="E18" s="112"/>
      <c r="F18" s="112"/>
      <c r="G18" s="112"/>
      <c r="H18" s="112"/>
      <c r="I18" s="147">
        <f>I19+I20</f>
        <v>600.60981643448815</v>
      </c>
      <c r="J18" s="167">
        <f>+I18*'Hoja de datos'!$B$16</f>
        <v>12588.781752466872</v>
      </c>
    </row>
    <row r="19" spans="1:10">
      <c r="A19" s="104"/>
      <c r="B19" s="156" t="s">
        <v>73</v>
      </c>
      <c r="C19" s="112"/>
      <c r="D19" s="112"/>
      <c r="E19" s="112"/>
      <c r="F19" s="112"/>
      <c r="G19" s="112"/>
      <c r="H19" s="112"/>
      <c r="I19" s="116">
        <f>I8*C16</f>
        <v>160.40836337462372</v>
      </c>
      <c r="J19" s="168">
        <f>+I19*'Hoja de datos'!$B$16</f>
        <v>3362.1592963321132</v>
      </c>
    </row>
    <row r="20" spans="1:10">
      <c r="A20" s="104"/>
      <c r="B20" s="156" t="s">
        <v>40</v>
      </c>
      <c r="C20" s="112"/>
      <c r="D20" s="112"/>
      <c r="E20" s="112"/>
      <c r="F20" s="112"/>
      <c r="G20" s="112"/>
      <c r="H20" s="112"/>
      <c r="I20" s="116">
        <f>+I9*C16</f>
        <v>440.20145305986443</v>
      </c>
      <c r="J20" s="168">
        <f>+I20*'Hoja de datos'!$B$16</f>
        <v>9226.622456134759</v>
      </c>
    </row>
    <row r="21" spans="1:10" s="100" customFormat="1">
      <c r="A21" s="114"/>
      <c r="B21" s="162"/>
      <c r="C21" s="115"/>
      <c r="D21" s="115"/>
      <c r="E21" s="115"/>
      <c r="F21" s="115"/>
      <c r="G21" s="115"/>
      <c r="H21" s="115"/>
      <c r="I21" s="116"/>
      <c r="J21" s="168"/>
    </row>
    <row r="22" spans="1:10" s="101" customFormat="1">
      <c r="A22" s="117"/>
      <c r="B22" s="162"/>
      <c r="C22" s="115"/>
      <c r="D22" s="115"/>
      <c r="E22" s="115"/>
      <c r="F22" s="115"/>
      <c r="H22" s="175" t="s">
        <v>55</v>
      </c>
      <c r="I22" s="175" t="s">
        <v>56</v>
      </c>
      <c r="J22" s="229" t="s">
        <v>57</v>
      </c>
    </row>
    <row r="23" spans="1:10" s="101" customFormat="1" ht="15" thickBot="1">
      <c r="A23" s="117"/>
      <c r="B23" s="212" t="s">
        <v>97</v>
      </c>
      <c r="C23" s="163"/>
      <c r="D23" s="163"/>
      <c r="E23" s="163"/>
      <c r="F23" s="163"/>
      <c r="G23" s="163"/>
      <c r="H23" s="176">
        <f>C11*C16*'Hoja de datos'!$B$16</f>
        <v>12025.239975</v>
      </c>
      <c r="I23" s="177">
        <f>G11*C16</f>
        <v>4690.7979034909777</v>
      </c>
      <c r="J23" s="230">
        <f>H23-I23</f>
        <v>7334.4420715090228</v>
      </c>
    </row>
    <row r="24" spans="1:10" s="101" customFormat="1">
      <c r="A24" s="117"/>
      <c r="B24" s="121"/>
      <c r="C24" s="120"/>
      <c r="D24" s="120"/>
      <c r="E24" s="120"/>
      <c r="F24" s="120"/>
      <c r="G24" s="122"/>
      <c r="H24" s="123"/>
      <c r="I24" s="123"/>
      <c r="J24" s="120"/>
    </row>
    <row r="25" spans="1:10" s="101" customFormat="1" ht="15" thickBot="1">
      <c r="A25" s="120"/>
      <c r="B25" s="121"/>
      <c r="C25" s="120"/>
      <c r="D25" s="120"/>
      <c r="E25" s="120"/>
      <c r="F25" s="120"/>
      <c r="G25" s="122"/>
      <c r="H25" s="123"/>
      <c r="I25" s="123"/>
      <c r="J25" s="120"/>
    </row>
    <row r="26" spans="1:10">
      <c r="B26" s="152" t="s">
        <v>78</v>
      </c>
      <c r="C26" s="103"/>
      <c r="D26" s="103"/>
      <c r="E26" s="103"/>
      <c r="F26" s="103"/>
      <c r="G26" s="103"/>
      <c r="H26" s="103"/>
      <c r="I26" s="103"/>
      <c r="J26" s="153"/>
    </row>
    <row r="27" spans="1:10" ht="28">
      <c r="B27" s="260" t="s">
        <v>86</v>
      </c>
      <c r="C27" s="125" t="s">
        <v>113</v>
      </c>
      <c r="D27" s="262" t="s">
        <v>65</v>
      </c>
      <c r="E27" s="262"/>
      <c r="F27" s="263" t="s">
        <v>66</v>
      </c>
      <c r="G27" s="263"/>
      <c r="H27" s="265" t="s">
        <v>74</v>
      </c>
      <c r="I27" s="263" t="s">
        <v>114</v>
      </c>
      <c r="J27" s="264"/>
    </row>
    <row r="28" spans="1:10" ht="16.5" customHeight="1">
      <c r="B28" s="261"/>
      <c r="C28" s="142" t="s">
        <v>69</v>
      </c>
      <c r="D28" s="142" t="s">
        <v>69</v>
      </c>
      <c r="E28" s="142" t="s">
        <v>70</v>
      </c>
      <c r="F28" s="142" t="s">
        <v>69</v>
      </c>
      <c r="G28" s="142" t="s">
        <v>70</v>
      </c>
      <c r="H28" s="266"/>
      <c r="I28" s="142" t="s">
        <v>69</v>
      </c>
      <c r="J28" s="155" t="s">
        <v>70</v>
      </c>
    </row>
    <row r="29" spans="1:10" ht="16.5" customHeight="1">
      <c r="B29" s="156" t="s">
        <v>62</v>
      </c>
      <c r="C29" s="157">
        <v>2.0499999999999998</v>
      </c>
      <c r="D29" s="157">
        <v>1.602120762036273</v>
      </c>
      <c r="E29" s="132">
        <f>+D29*'Hoja de datos'!$B$14</f>
        <v>28.311556622171587</v>
      </c>
      <c r="F29" s="126">
        <f>G29/'Hoja de datos'!$B$16</f>
        <v>1.6383248075723404</v>
      </c>
      <c r="G29" s="132">
        <f>+'Hoja de datos'!E33</f>
        <v>34.339287966716256</v>
      </c>
      <c r="H29" s="128"/>
      <c r="I29" s="126">
        <f>+C29-F29</f>
        <v>0.41167519242765938</v>
      </c>
      <c r="J29" s="172">
        <f>I29*'Hoja de datos'!$B$16</f>
        <v>8.6287120332837404</v>
      </c>
    </row>
    <row r="30" spans="1:10" ht="16.5" customHeight="1">
      <c r="B30" s="156" t="s">
        <v>63</v>
      </c>
      <c r="C30" s="126">
        <f>C29*$C$35/(1-$C$35)</f>
        <v>2.2208333333333332</v>
      </c>
      <c r="D30" s="126">
        <f>D29*$D$35/(1-$D$35)</f>
        <v>1.3647695380308993</v>
      </c>
      <c r="E30" s="132">
        <f>+D30*'Hoja de datos'!$B$14</f>
        <v>24.117251937405427</v>
      </c>
      <c r="F30" s="126">
        <f>G30/'Hoja de datos'!$B$16</f>
        <v>1.3956100212653268</v>
      </c>
      <c r="G30" s="132">
        <f>+'Hoja de datos'!E34</f>
        <v>29.251986045721253</v>
      </c>
      <c r="H30" s="128"/>
      <c r="I30" s="126">
        <f>+C30-F30</f>
        <v>0.82522331206800636</v>
      </c>
      <c r="J30" s="172">
        <f>I30*'Hoja de datos'!$B$16</f>
        <v>17.296680620945413</v>
      </c>
    </row>
    <row r="31" spans="1:10" ht="16.5" customHeight="1">
      <c r="B31" s="156" t="s">
        <v>64</v>
      </c>
      <c r="C31" s="126">
        <f>+C29+C30</f>
        <v>4.270833333333333</v>
      </c>
      <c r="D31" s="126">
        <f>+D29+D30</f>
        <v>2.9668903000671722</v>
      </c>
      <c r="E31" s="132">
        <f>+D31*'Hoja de datos'!$B$14</f>
        <v>52.428808559577014</v>
      </c>
      <c r="F31" s="126">
        <f>+F30+F29</f>
        <v>3.0339348288376673</v>
      </c>
      <c r="G31" s="132">
        <f>+F31*'Hoja de datos'!$B$16</f>
        <v>63.591274012437509</v>
      </c>
      <c r="H31" s="128"/>
      <c r="I31" s="126"/>
      <c r="J31" s="172"/>
    </row>
    <row r="32" spans="1:10" ht="16.5" customHeight="1">
      <c r="B32" s="156" t="s">
        <v>34</v>
      </c>
      <c r="C32" s="126">
        <f>+C31*0.21</f>
        <v>0.89687499999999987</v>
      </c>
      <c r="D32" s="126">
        <f>+D31*0.21</f>
        <v>0.62304696301410611</v>
      </c>
      <c r="E32" s="132">
        <f>+D32*'Hoja de datos'!$B$14</f>
        <v>11.010049797511172</v>
      </c>
      <c r="F32" s="126">
        <f>+F31*H32</f>
        <v>0.31856315702795507</v>
      </c>
      <c r="G32" s="132">
        <f>+F32*'Hoja de datos'!$B$16</f>
        <v>6.6770837713059388</v>
      </c>
      <c r="H32" s="258">
        <v>0.105</v>
      </c>
      <c r="I32" s="126">
        <f>+C32-F32</f>
        <v>0.57831184297204485</v>
      </c>
      <c r="J32" s="172">
        <f>I32*'Hoja de datos'!$B$16</f>
        <v>12.121416228694061</v>
      </c>
    </row>
    <row r="33" spans="1:10" ht="16.5" customHeight="1">
      <c r="B33" s="159" t="s">
        <v>36</v>
      </c>
      <c r="C33" s="129">
        <f>+C32+C31</f>
        <v>5.1677083333333327</v>
      </c>
      <c r="D33" s="129">
        <f>+D32+D31</f>
        <v>3.5899372630812785</v>
      </c>
      <c r="E33" s="133">
        <f>+D33*'Hoja de datos'!$B$14</f>
        <v>63.438858357088193</v>
      </c>
      <c r="F33" s="129">
        <f>+F32+F31</f>
        <v>3.3524979858656225</v>
      </c>
      <c r="G33" s="133">
        <f>+F33*'Hoja de datos'!$B$16</f>
        <v>70.268357783743454</v>
      </c>
      <c r="H33" s="131"/>
      <c r="I33" s="129">
        <f>+C33-F33</f>
        <v>1.8152103474677102</v>
      </c>
      <c r="J33" s="173">
        <f>I33*'Hoja de datos'!$B$16</f>
        <v>38.046808882923209</v>
      </c>
    </row>
    <row r="34" spans="1:10">
      <c r="B34" s="104"/>
      <c r="C34" s="112"/>
      <c r="D34" s="112"/>
      <c r="E34" s="112"/>
      <c r="F34" s="112"/>
      <c r="G34" s="112"/>
      <c r="H34" s="112"/>
      <c r="I34" s="112"/>
      <c r="J34" s="164"/>
    </row>
    <row r="35" spans="1:10">
      <c r="B35" s="154" t="s">
        <v>67</v>
      </c>
      <c r="C35" s="174">
        <v>0.52</v>
      </c>
      <c r="D35" s="174">
        <v>0.46</v>
      </c>
      <c r="E35" s="112"/>
      <c r="F35" s="112"/>
      <c r="G35" s="112"/>
      <c r="H35" s="112"/>
      <c r="I35" s="112"/>
      <c r="J35" s="164"/>
    </row>
    <row r="36" spans="1:10">
      <c r="B36" s="154" t="s">
        <v>94</v>
      </c>
      <c r="C36" s="134">
        <v>5.28E-2</v>
      </c>
      <c r="D36" s="112"/>
      <c r="E36" s="112"/>
      <c r="F36" s="112"/>
      <c r="G36" s="112"/>
      <c r="H36" s="112"/>
      <c r="I36" s="112"/>
      <c r="J36" s="164"/>
    </row>
    <row r="37" spans="1:10">
      <c r="B37" s="154" t="s">
        <v>68</v>
      </c>
      <c r="C37" s="165">
        <f>+$C$3*C36</f>
        <v>92.135999999999996</v>
      </c>
      <c r="D37" s="112"/>
      <c r="E37" s="112"/>
      <c r="F37" s="112"/>
      <c r="G37" s="112"/>
      <c r="H37" s="112"/>
      <c r="I37" s="112"/>
      <c r="J37" s="164"/>
    </row>
    <row r="38" spans="1:10">
      <c r="B38" s="104"/>
      <c r="C38" s="105"/>
      <c r="D38" s="112"/>
      <c r="E38" s="112"/>
      <c r="F38" s="112"/>
      <c r="G38" s="112"/>
      <c r="H38" s="112"/>
      <c r="I38" s="112"/>
      <c r="J38" s="164"/>
    </row>
    <row r="39" spans="1:10">
      <c r="A39" s="105"/>
      <c r="B39" s="104"/>
      <c r="C39" s="105"/>
      <c r="D39" s="112"/>
      <c r="E39" s="112"/>
      <c r="F39" s="112"/>
      <c r="G39" s="112"/>
      <c r="H39" s="112"/>
      <c r="I39" s="185" t="s">
        <v>71</v>
      </c>
      <c r="J39" s="216" t="s">
        <v>72</v>
      </c>
    </row>
    <row r="40" spans="1:10">
      <c r="A40" s="114"/>
      <c r="B40" s="222" t="s">
        <v>93</v>
      </c>
      <c r="C40" s="115"/>
      <c r="D40" s="115"/>
      <c r="E40" s="115"/>
      <c r="F40" s="115"/>
      <c r="G40" s="115"/>
      <c r="H40" s="115"/>
      <c r="I40" s="147">
        <f>I41+I42</f>
        <v>113.96288061021266</v>
      </c>
      <c r="J40" s="160">
        <f>+I40*'Hoja de datos'!$B$16</f>
        <v>2388.6619775900576</v>
      </c>
    </row>
    <row r="41" spans="1:10">
      <c r="A41" s="114"/>
      <c r="B41" s="166" t="s">
        <v>73</v>
      </c>
      <c r="C41" s="115"/>
      <c r="D41" s="115"/>
      <c r="E41" s="115"/>
      <c r="F41" s="115"/>
      <c r="G41" s="115"/>
      <c r="H41" s="115"/>
      <c r="I41" s="116">
        <f>I29*C37</f>
        <v>37.930105529514826</v>
      </c>
      <c r="J41" s="161">
        <f>+I41*'Hoja de datos'!$B$16</f>
        <v>795.01501189863075</v>
      </c>
    </row>
    <row r="42" spans="1:10">
      <c r="A42" s="114"/>
      <c r="B42" s="166" t="s">
        <v>40</v>
      </c>
      <c r="C42" s="115"/>
      <c r="D42" s="115"/>
      <c r="E42" s="115"/>
      <c r="F42" s="115"/>
      <c r="G42" s="115"/>
      <c r="H42" s="115"/>
      <c r="I42" s="116">
        <f>+I30*C37</f>
        <v>76.032775080697832</v>
      </c>
      <c r="J42" s="161">
        <f>+I42*'Hoja de datos'!$B$16</f>
        <v>1593.6469656914267</v>
      </c>
    </row>
    <row r="43" spans="1:10" ht="15" thickBot="1">
      <c r="A43" s="114"/>
      <c r="B43" s="212" t="s">
        <v>97</v>
      </c>
      <c r="C43" s="163"/>
      <c r="D43" s="163"/>
      <c r="E43" s="163"/>
      <c r="F43" s="163"/>
      <c r="G43" s="163"/>
      <c r="H43" s="163"/>
      <c r="I43" s="227"/>
      <c r="J43" s="228">
        <f>I32*C37*'Hoja de datos'!$B$16</f>
        <v>1116.8188056469558</v>
      </c>
    </row>
    <row r="44" spans="1:10">
      <c r="A44" s="117"/>
      <c r="B44" s="148"/>
      <c r="C44" s="119"/>
      <c r="D44" s="119"/>
      <c r="E44" s="119"/>
      <c r="F44" s="119"/>
      <c r="G44" s="149"/>
      <c r="H44" s="150"/>
      <c r="I44" s="150"/>
      <c r="J44" s="118"/>
    </row>
    <row r="45" spans="1:10" ht="15" thickBot="1">
      <c r="B45" s="110"/>
      <c r="C45" s="110"/>
      <c r="D45" s="110"/>
      <c r="E45" s="110"/>
      <c r="F45" s="110"/>
      <c r="G45" s="110"/>
      <c r="H45" s="110"/>
      <c r="I45" s="135"/>
      <c r="J45" s="110"/>
    </row>
    <row r="46" spans="1:10">
      <c r="B46" s="152" t="s">
        <v>79</v>
      </c>
      <c r="C46" s="103"/>
      <c r="D46" s="103"/>
      <c r="E46" s="103"/>
      <c r="F46" s="103"/>
      <c r="G46" s="103"/>
      <c r="H46" s="103"/>
      <c r="I46" s="103"/>
      <c r="J46" s="153"/>
    </row>
    <row r="47" spans="1:10" ht="28">
      <c r="B47" s="260" t="s">
        <v>86</v>
      </c>
      <c r="C47" s="125" t="s">
        <v>113</v>
      </c>
      <c r="D47" s="262" t="s">
        <v>65</v>
      </c>
      <c r="E47" s="262"/>
      <c r="F47" s="263" t="s">
        <v>66</v>
      </c>
      <c r="G47" s="263"/>
      <c r="H47" s="265" t="s">
        <v>74</v>
      </c>
      <c r="I47" s="263" t="s">
        <v>114</v>
      </c>
      <c r="J47" s="264"/>
    </row>
    <row r="48" spans="1:10" ht="16.5" customHeight="1">
      <c r="B48" s="261"/>
      <c r="C48" s="142" t="s">
        <v>69</v>
      </c>
      <c r="D48" s="142" t="s">
        <v>69</v>
      </c>
      <c r="E48" s="142" t="s">
        <v>70</v>
      </c>
      <c r="F48" s="142" t="s">
        <v>69</v>
      </c>
      <c r="G48" s="142" t="s">
        <v>70</v>
      </c>
      <c r="H48" s="266"/>
      <c r="I48" s="142" t="s">
        <v>69</v>
      </c>
      <c r="J48" s="155" t="s">
        <v>70</v>
      </c>
    </row>
    <row r="49" spans="1:12" ht="16.5" customHeight="1">
      <c r="B49" s="156" t="s">
        <v>62</v>
      </c>
      <c r="C49" s="157">
        <v>2.5299999999999998</v>
      </c>
      <c r="D49" s="157">
        <v>1.4642350791894176</v>
      </c>
      <c r="E49" s="132">
        <f>+D49*'Hoja de datos'!$B$14</f>
        <v>25.874937354879954</v>
      </c>
      <c r="F49" s="126">
        <f>G49/'Hoja de datos'!$B$16</f>
        <v>1.4930143361616284</v>
      </c>
      <c r="G49" s="132">
        <f>+'Hoja de datos'!E37</f>
        <v>31.293580485947732</v>
      </c>
      <c r="H49" s="128"/>
      <c r="I49" s="126">
        <f>+C49-F49</f>
        <v>1.0369856638383714</v>
      </c>
      <c r="J49" s="172">
        <f>I49*'Hoja de datos'!$B$16</f>
        <v>21.735219514052265</v>
      </c>
    </row>
    <row r="50" spans="1:12" ht="16.5" customHeight="1">
      <c r="B50" s="156" t="s">
        <v>63</v>
      </c>
      <c r="C50" s="126">
        <f>C49*$C$55/(1-$C$55)</f>
        <v>2.7408333333333332</v>
      </c>
      <c r="D50" s="126">
        <f>D49*$D$55/(1-$D$55)</f>
        <v>1.2473113637539484</v>
      </c>
      <c r="E50" s="132">
        <f>+D50*'Hoja de datos'!$B$14</f>
        <v>22.041613302305144</v>
      </c>
      <c r="F50" s="126">
        <f>G50/'Hoja de datos'!$B$16</f>
        <v>1.2718270271006464</v>
      </c>
      <c r="G50" s="132">
        <f>+'Hoja de datos'!E38</f>
        <v>26.657494488029553</v>
      </c>
      <c r="H50" s="128"/>
      <c r="I50" s="126">
        <f>+C50-F50</f>
        <v>1.4690063062326868</v>
      </c>
      <c r="J50" s="172">
        <f>I50*'Hoja de datos'!$B$16</f>
        <v>30.790372178637117</v>
      </c>
    </row>
    <row r="51" spans="1:12" ht="16.5" customHeight="1">
      <c r="B51" s="156" t="s">
        <v>64</v>
      </c>
      <c r="C51" s="126">
        <f>+C49+C50</f>
        <v>5.270833333333333</v>
      </c>
      <c r="D51" s="126">
        <f>+D49+D50</f>
        <v>2.7115464429433658</v>
      </c>
      <c r="E51" s="132">
        <f>+D51*'Hoja de datos'!$B$14</f>
        <v>47.916550657185098</v>
      </c>
      <c r="F51" s="126">
        <f>+F50+F49</f>
        <v>2.764841363262275</v>
      </c>
      <c r="G51" s="132">
        <f>+F51*'Hoja de datos'!$B$16</f>
        <v>57.951074973977285</v>
      </c>
      <c r="H51" s="128"/>
      <c r="I51" s="126"/>
      <c r="J51" s="172"/>
    </row>
    <row r="52" spans="1:12" ht="16.5" customHeight="1">
      <c r="B52" s="156" t="s">
        <v>34</v>
      </c>
      <c r="C52" s="126">
        <f>+C51*0.27</f>
        <v>1.423125</v>
      </c>
      <c r="D52" s="126">
        <f>+D51*0.27</f>
        <v>0.73211753959470882</v>
      </c>
      <c r="E52" s="132">
        <f>+D52*'Hoja de datos'!$B$14</f>
        <v>12.937468677439977</v>
      </c>
      <c r="F52" s="126">
        <f>+F51*H52</f>
        <v>0.58061668628507779</v>
      </c>
      <c r="G52" s="132">
        <f>+F52*'Hoja de datos'!$B$16</f>
        <v>12.169725744535231</v>
      </c>
      <c r="H52" s="258">
        <v>0.21</v>
      </c>
      <c r="I52" s="126">
        <f>+C52-F52</f>
        <v>0.84250831371492219</v>
      </c>
      <c r="J52" s="172">
        <f>I52*'Hoja de datos'!$B$16</f>
        <v>17.65897425546477</v>
      </c>
    </row>
    <row r="53" spans="1:12" ht="16.5" customHeight="1">
      <c r="B53" s="159" t="s">
        <v>36</v>
      </c>
      <c r="C53" s="129">
        <f>+C52+C51</f>
        <v>6.6939583333333328</v>
      </c>
      <c r="D53" s="129">
        <f>+D52+D51</f>
        <v>3.4436639825380748</v>
      </c>
      <c r="E53" s="133">
        <f>+D53*'Hoja de datos'!$B$14</f>
        <v>60.854019334625079</v>
      </c>
      <c r="F53" s="129">
        <f>+F52+F51</f>
        <v>3.3454580495473527</v>
      </c>
      <c r="G53" s="133">
        <f>+F53*'Hoja de datos'!$B$16</f>
        <v>70.120800718512513</v>
      </c>
      <c r="H53" s="131"/>
      <c r="I53" s="129">
        <f>+C53-F53</f>
        <v>3.3485002837859801</v>
      </c>
      <c r="J53" s="173">
        <f>I53*'Hoja de datos'!$B$16</f>
        <v>70.184565948154145</v>
      </c>
    </row>
    <row r="54" spans="1:12">
      <c r="B54" s="154"/>
      <c r="C54" s="112"/>
      <c r="D54" s="112"/>
      <c r="E54" s="112"/>
      <c r="F54" s="112"/>
      <c r="G54" s="112"/>
      <c r="H54" s="112"/>
      <c r="I54" s="112"/>
      <c r="J54" s="158"/>
    </row>
    <row r="55" spans="1:12">
      <c r="B55" s="154" t="s">
        <v>67</v>
      </c>
      <c r="C55" s="174">
        <v>0.52</v>
      </c>
      <c r="D55" s="174">
        <v>0.46</v>
      </c>
      <c r="E55" s="112"/>
      <c r="F55" s="112"/>
      <c r="G55" s="112"/>
      <c r="H55" s="112"/>
      <c r="I55" s="112"/>
      <c r="J55" s="158"/>
    </row>
    <row r="56" spans="1:12">
      <c r="B56" s="154" t="s">
        <v>99</v>
      </c>
      <c r="C56" s="134">
        <v>3.5000000000000003E-2</v>
      </c>
      <c r="D56" s="112"/>
      <c r="E56" s="112"/>
      <c r="F56" s="112"/>
      <c r="G56" s="112"/>
      <c r="H56" s="112"/>
      <c r="I56" s="112"/>
      <c r="J56" s="158"/>
    </row>
    <row r="57" spans="1:12">
      <c r="B57" s="154" t="s">
        <v>68</v>
      </c>
      <c r="C57" s="165">
        <f>$C$3*C56</f>
        <v>61.075000000000003</v>
      </c>
      <c r="D57" s="112"/>
      <c r="E57" s="112"/>
      <c r="F57" s="112"/>
      <c r="G57" s="112"/>
      <c r="H57" s="112"/>
      <c r="I57" s="112"/>
      <c r="J57" s="158"/>
    </row>
    <row r="58" spans="1:12">
      <c r="A58" s="105"/>
      <c r="B58" s="154"/>
      <c r="C58" s="141"/>
      <c r="D58" s="112"/>
      <c r="E58" s="112"/>
      <c r="F58" s="112"/>
      <c r="G58" s="112"/>
      <c r="H58" s="112"/>
      <c r="I58" s="185" t="s">
        <v>71</v>
      </c>
      <c r="J58" s="216" t="s">
        <v>72</v>
      </c>
    </row>
    <row r="59" spans="1:12">
      <c r="A59" s="104"/>
      <c r="B59" s="222" t="s">
        <v>93</v>
      </c>
      <c r="C59" s="112"/>
      <c r="D59" s="112"/>
      <c r="E59" s="112"/>
      <c r="F59" s="112"/>
      <c r="G59" s="112"/>
      <c r="H59" s="112"/>
      <c r="I59" s="147">
        <f>I60+I61</f>
        <v>153.05345957208988</v>
      </c>
      <c r="J59" s="160">
        <f>+I59*'Hoja de datos'!$B$16</f>
        <v>3208.0005126310039</v>
      </c>
    </row>
    <row r="60" spans="1:12">
      <c r="A60" s="104"/>
      <c r="B60" s="156" t="s">
        <v>73</v>
      </c>
      <c r="C60" s="112"/>
      <c r="D60" s="112"/>
      <c r="E60" s="112"/>
      <c r="F60" s="112"/>
      <c r="G60" s="112"/>
      <c r="H60" s="112"/>
      <c r="I60" s="113">
        <f>I49*C57</f>
        <v>63.333899418928539</v>
      </c>
      <c r="J60" s="161">
        <f>+I60*'Hoja de datos'!$B$16</f>
        <v>1327.4785318207423</v>
      </c>
    </row>
    <row r="61" spans="1:12">
      <c r="A61" s="104"/>
      <c r="B61" s="156" t="s">
        <v>40</v>
      </c>
      <c r="C61" s="112"/>
      <c r="D61" s="112"/>
      <c r="E61" s="112"/>
      <c r="F61" s="112"/>
      <c r="G61" s="112"/>
      <c r="H61" s="112"/>
      <c r="I61" s="113">
        <f>+I50*C57</f>
        <v>89.719560153161353</v>
      </c>
      <c r="J61" s="161">
        <f>+I61*'Hoja de datos'!$B$16</f>
        <v>1880.521980810262</v>
      </c>
    </row>
    <row r="62" spans="1:12" ht="15" thickBot="1">
      <c r="A62" s="117"/>
      <c r="B62" s="212" t="s">
        <v>97</v>
      </c>
      <c r="C62" s="163"/>
      <c r="D62" s="163"/>
      <c r="E62" s="163"/>
      <c r="F62" s="163"/>
      <c r="G62" s="106"/>
      <c r="H62" s="235"/>
      <c r="I62" s="236"/>
      <c r="J62" s="228">
        <f>I52*C57*'Hoja de datos'!$B$16</f>
        <v>1078.5218526525109</v>
      </c>
      <c r="K62" s="100"/>
      <c r="L62" s="237"/>
    </row>
    <row r="63" spans="1:12">
      <c r="A63" s="117"/>
      <c r="B63" s="121"/>
      <c r="C63" s="120"/>
      <c r="D63" s="120"/>
      <c r="E63" s="120"/>
      <c r="F63" s="120"/>
      <c r="G63" s="122"/>
      <c r="H63" s="123"/>
      <c r="I63" s="123"/>
      <c r="J63" s="101"/>
      <c r="K63" s="100"/>
    </row>
    <row r="64" spans="1:12">
      <c r="A64" s="100"/>
      <c r="B64" s="100"/>
      <c r="C64" s="100"/>
      <c r="D64" s="100"/>
      <c r="E64" s="100"/>
      <c r="F64" s="100"/>
      <c r="G64" s="100"/>
      <c r="H64" s="100"/>
      <c r="I64" s="151"/>
      <c r="J64" s="100"/>
      <c r="K64" s="100"/>
    </row>
    <row r="66" spans="2:10" ht="15" thickBot="1"/>
    <row r="67" spans="2:10" ht="15" thickBot="1">
      <c r="B67" s="136" t="s">
        <v>37</v>
      </c>
      <c r="C67" s="137"/>
      <c r="D67" s="137"/>
      <c r="E67" s="137"/>
      <c r="F67" s="137"/>
      <c r="G67" s="137"/>
      <c r="H67" s="137"/>
      <c r="I67" s="137"/>
      <c r="J67" s="231">
        <f>+J18+J59+J40</f>
        <v>18185.444242687932</v>
      </c>
    </row>
    <row r="68" spans="2:10">
      <c r="B68" s="225" t="s">
        <v>106</v>
      </c>
      <c r="C68" s="137"/>
      <c r="D68" s="137"/>
      <c r="E68" s="137"/>
      <c r="F68" s="137"/>
      <c r="G68" s="137"/>
      <c r="H68" s="137"/>
      <c r="I68" s="137"/>
      <c r="J68" s="232">
        <f>+J19++J60+J41</f>
        <v>5484.6528400514871</v>
      </c>
    </row>
    <row r="69" spans="2:10" ht="15" thickBot="1">
      <c r="B69" s="226" t="s">
        <v>107</v>
      </c>
      <c r="C69" s="138"/>
      <c r="D69" s="138"/>
      <c r="E69" s="138"/>
      <c r="F69" s="138"/>
      <c r="G69" s="138"/>
      <c r="H69" s="138"/>
      <c r="I69" s="138"/>
      <c r="J69" s="233">
        <f>+J20+J61+J42</f>
        <v>12700.791402636449</v>
      </c>
    </row>
    <row r="70" spans="2:10" ht="15" thickBot="1">
      <c r="B70" s="139" t="s">
        <v>97</v>
      </c>
      <c r="C70" s="140"/>
      <c r="D70" s="140"/>
      <c r="E70" s="140"/>
      <c r="F70" s="140"/>
      <c r="G70" s="140"/>
      <c r="H70" s="140"/>
      <c r="I70" s="140"/>
      <c r="J70" s="234">
        <f>J62+J43+J23</f>
        <v>9529.7827298084885</v>
      </c>
    </row>
  </sheetData>
  <mergeCells count="15">
    <mergeCell ref="F47:G47"/>
    <mergeCell ref="I47:J47"/>
    <mergeCell ref="H27:H28"/>
    <mergeCell ref="H47:H48"/>
    <mergeCell ref="F6:G6"/>
    <mergeCell ref="I6:J6"/>
    <mergeCell ref="H6:H7"/>
    <mergeCell ref="F27:G27"/>
    <mergeCell ref="I27:J27"/>
    <mergeCell ref="B6:B7"/>
    <mergeCell ref="B27:B28"/>
    <mergeCell ref="B47:B48"/>
    <mergeCell ref="D27:E27"/>
    <mergeCell ref="D6:E6"/>
    <mergeCell ref="D47:E47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59999389629810485"/>
  </sheetPr>
  <dimension ref="B1:K51"/>
  <sheetViews>
    <sheetView workbookViewId="0">
      <selection activeCell="I32" sqref="I32"/>
    </sheetView>
  </sheetViews>
  <sheetFormatPr baseColWidth="10" defaultColWidth="9.1640625" defaultRowHeight="14" x14ac:dyDescent="0"/>
  <cols>
    <col min="1" max="1" width="3.33203125" style="110" customWidth="1"/>
    <col min="2" max="2" width="61.1640625" style="110" customWidth="1"/>
    <col min="3" max="4" width="11.5" style="110" customWidth="1"/>
    <col min="5" max="6" width="10.1640625" style="110" customWidth="1"/>
    <col min="7" max="8" width="10.5" style="110" customWidth="1"/>
    <col min="9" max="9" width="11.5" style="110" bestFit="1" customWidth="1"/>
    <col min="10" max="10" width="11.33203125" style="110" customWidth="1"/>
    <col min="11" max="11" width="12.1640625" style="110" customWidth="1"/>
    <col min="12" max="16384" width="9.1640625" style="110"/>
  </cols>
  <sheetData>
    <row r="1" spans="2:11" ht="18">
      <c r="B1" s="98" t="s">
        <v>82</v>
      </c>
    </row>
    <row r="2" spans="2:11">
      <c r="B2" s="178"/>
    </row>
    <row r="3" spans="2:11">
      <c r="B3" s="110" t="s">
        <v>89</v>
      </c>
      <c r="C3" s="257">
        <v>131927</v>
      </c>
    </row>
    <row r="4" spans="2:11" ht="15" thickBot="1">
      <c r="B4" s="178"/>
    </row>
    <row r="5" spans="2:11">
      <c r="B5" s="152" t="s">
        <v>77</v>
      </c>
      <c r="C5" s="111"/>
      <c r="D5" s="111"/>
      <c r="E5" s="111"/>
      <c r="F5" s="111"/>
      <c r="G5" s="111"/>
      <c r="H5" s="111"/>
      <c r="I5" s="111"/>
      <c r="J5" s="111"/>
      <c r="K5" s="196"/>
    </row>
    <row r="6" spans="2:11" ht="22.5" customHeight="1">
      <c r="B6" s="260" t="s">
        <v>85</v>
      </c>
      <c r="C6" s="268" t="s">
        <v>113</v>
      </c>
      <c r="D6" s="269"/>
      <c r="E6" s="270" t="s">
        <v>83</v>
      </c>
      <c r="F6" s="271"/>
      <c r="G6" s="263" t="s">
        <v>66</v>
      </c>
      <c r="H6" s="263"/>
      <c r="I6" s="265" t="s">
        <v>74</v>
      </c>
      <c r="J6" s="263" t="s">
        <v>114</v>
      </c>
      <c r="K6" s="264"/>
    </row>
    <row r="7" spans="2:11" ht="22.5" customHeight="1">
      <c r="B7" s="267"/>
      <c r="C7" s="184" t="s">
        <v>58</v>
      </c>
      <c r="D7" s="184" t="s">
        <v>4</v>
      </c>
      <c r="E7" s="184" t="s">
        <v>58</v>
      </c>
      <c r="F7" s="184" t="s">
        <v>4</v>
      </c>
      <c r="G7" s="184" t="s">
        <v>58</v>
      </c>
      <c r="H7" s="184" t="s">
        <v>4</v>
      </c>
      <c r="I7" s="266"/>
      <c r="J7" s="184" t="s">
        <v>58</v>
      </c>
      <c r="K7" s="197" t="s">
        <v>4</v>
      </c>
    </row>
    <row r="8" spans="2:11" ht="16.5" customHeight="1">
      <c r="B8" s="156" t="s">
        <v>84</v>
      </c>
      <c r="C8" s="198">
        <v>1191</v>
      </c>
      <c r="D8" s="198">
        <v>1191</v>
      </c>
      <c r="E8" s="198">
        <v>608</v>
      </c>
      <c r="F8" s="198">
        <v>608</v>
      </c>
      <c r="G8" s="199">
        <f>+'Hoja de datos'!E45</f>
        <v>737.44751524588025</v>
      </c>
      <c r="H8" s="199">
        <f>'Hoja de datos'!E45</f>
        <v>737.44751524588025</v>
      </c>
      <c r="I8" s="200"/>
      <c r="J8" s="223">
        <f>C8-G8</f>
        <v>453.55248475411975</v>
      </c>
      <c r="K8" s="224">
        <f>+D8-H8</f>
        <v>453.55248475411975</v>
      </c>
    </row>
    <row r="9" spans="2:11" ht="16.5" customHeight="1">
      <c r="B9" s="156" t="s">
        <v>39</v>
      </c>
      <c r="C9" s="199">
        <f>+C8*$C$15/(1-$C$15)</f>
        <v>669.9375</v>
      </c>
      <c r="D9" s="199">
        <f>+D8*$C$14/(1-$C$14)</f>
        <v>1290.2500000000002</v>
      </c>
      <c r="E9" s="199">
        <f>+E8*$E$15/(1-$E$15)</f>
        <v>388.72131147540983</v>
      </c>
      <c r="F9" s="199">
        <f>+F8*$E$14/(1-$E$14)</f>
        <v>561.23076923076917</v>
      </c>
      <c r="G9" s="199">
        <f>+'Hoja de datos'!E46</f>
        <v>471.48283761621855</v>
      </c>
      <c r="H9" s="199">
        <f>D9</f>
        <v>1290.2500000000002</v>
      </c>
      <c r="I9" s="200"/>
      <c r="J9" s="199">
        <f>+C9-G9</f>
        <v>198.45466238378145</v>
      </c>
      <c r="K9" s="201">
        <f t="shared" ref="K9:K12" si="0">+D9-H9</f>
        <v>0</v>
      </c>
    </row>
    <row r="10" spans="2:11" ht="16.5" customHeight="1">
      <c r="B10" s="156" t="s">
        <v>64</v>
      </c>
      <c r="C10" s="199">
        <f t="shared" ref="C10:H10" si="1">+C8+C9</f>
        <v>1860.9375</v>
      </c>
      <c r="D10" s="199">
        <f t="shared" si="1"/>
        <v>2481.25</v>
      </c>
      <c r="E10" s="199">
        <f t="shared" si="1"/>
        <v>996.72131147540983</v>
      </c>
      <c r="F10" s="199">
        <f t="shared" si="1"/>
        <v>1169.2307692307691</v>
      </c>
      <c r="G10" s="199">
        <f t="shared" si="1"/>
        <v>1208.9303528620987</v>
      </c>
      <c r="H10" s="199">
        <f t="shared" si="1"/>
        <v>2027.6975152458804</v>
      </c>
      <c r="I10" s="200"/>
      <c r="J10" s="199"/>
      <c r="K10" s="201"/>
    </row>
    <row r="11" spans="2:11" ht="16.5" customHeight="1">
      <c r="B11" s="156" t="s">
        <v>34</v>
      </c>
      <c r="C11" s="199">
        <f>+C10*0.21</f>
        <v>390.796875</v>
      </c>
      <c r="D11" s="199">
        <f>+D10*0.21</f>
        <v>521.0625</v>
      </c>
      <c r="E11" s="199">
        <f>+E10*0.21</f>
        <v>209.31147540983605</v>
      </c>
      <c r="F11" s="199">
        <f>+F10*0.21</f>
        <v>245.53846153846149</v>
      </c>
      <c r="G11" s="199">
        <f>+G10*$I11</f>
        <v>126.93768705052037</v>
      </c>
      <c r="H11" s="199">
        <f>+H10*$I11</f>
        <v>212.90823910081744</v>
      </c>
      <c r="I11" s="259">
        <v>0.105</v>
      </c>
      <c r="J11" s="199">
        <f>C11-G11</f>
        <v>263.85918794947963</v>
      </c>
      <c r="K11" s="201">
        <f t="shared" si="0"/>
        <v>308.15426089918253</v>
      </c>
    </row>
    <row r="12" spans="2:11" ht="16.5" customHeight="1">
      <c r="B12" s="159" t="s">
        <v>36</v>
      </c>
      <c r="C12" s="202">
        <f t="shared" ref="C12:H12" si="2">+C11+C10</f>
        <v>2251.734375</v>
      </c>
      <c r="D12" s="202">
        <f t="shared" si="2"/>
        <v>3002.3125</v>
      </c>
      <c r="E12" s="202">
        <f t="shared" si="2"/>
        <v>1206.032786885246</v>
      </c>
      <c r="F12" s="202">
        <f t="shared" si="2"/>
        <v>1414.7692307692305</v>
      </c>
      <c r="G12" s="202">
        <f t="shared" si="2"/>
        <v>1335.8680399126192</v>
      </c>
      <c r="H12" s="202">
        <f t="shared" si="2"/>
        <v>2240.6057543466977</v>
      </c>
      <c r="I12" s="203"/>
      <c r="J12" s="202">
        <f>C12-G12</f>
        <v>915.86633508738078</v>
      </c>
      <c r="K12" s="204">
        <f t="shared" si="0"/>
        <v>761.70674565330228</v>
      </c>
    </row>
    <row r="13" spans="2:11">
      <c r="B13" s="154"/>
      <c r="C13" s="205"/>
      <c r="D13" s="205"/>
      <c r="E13" s="205"/>
      <c r="F13" s="205"/>
      <c r="G13" s="205"/>
      <c r="H13" s="205"/>
      <c r="I13" s="112"/>
      <c r="J13" s="112"/>
      <c r="K13" s="158"/>
    </row>
    <row r="14" spans="2:11" ht="15" customHeight="1">
      <c r="B14" s="154" t="s">
        <v>100</v>
      </c>
      <c r="C14" s="174">
        <v>0.52</v>
      </c>
      <c r="D14" s="205"/>
      <c r="E14" s="174">
        <v>0.48</v>
      </c>
      <c r="F14" s="205"/>
      <c r="G14" s="205"/>
      <c r="H14" s="205"/>
      <c r="I14" s="112"/>
      <c r="J14" s="112"/>
      <c r="K14" s="158"/>
    </row>
    <row r="15" spans="2:11" ht="15" customHeight="1">
      <c r="B15" s="154" t="s">
        <v>101</v>
      </c>
      <c r="C15" s="174">
        <v>0.36</v>
      </c>
      <c r="D15" s="205"/>
      <c r="E15" s="174">
        <v>0.39</v>
      </c>
      <c r="F15" s="205"/>
      <c r="G15" s="205"/>
      <c r="H15" s="205"/>
      <c r="I15" s="112"/>
      <c r="J15" s="112"/>
      <c r="K15" s="158"/>
    </row>
    <row r="16" spans="2:11" ht="15" customHeight="1">
      <c r="B16" s="154" t="s">
        <v>80</v>
      </c>
      <c r="C16" s="134">
        <v>0.28799999999999998</v>
      </c>
      <c r="D16" s="205"/>
      <c r="E16" s="112"/>
      <c r="F16" s="112"/>
      <c r="G16" s="112"/>
      <c r="H16" s="112"/>
      <c r="I16" s="112"/>
      <c r="J16" s="112"/>
      <c r="K16" s="158"/>
    </row>
    <row r="17" spans="2:11" ht="15" customHeight="1">
      <c r="B17" s="154" t="s">
        <v>88</v>
      </c>
      <c r="C17" s="206">
        <f>+C3*C16</f>
        <v>37994.975999999995</v>
      </c>
      <c r="D17" s="205"/>
      <c r="E17" s="112"/>
      <c r="F17" s="112"/>
      <c r="G17" s="112"/>
      <c r="H17" s="112"/>
      <c r="I17" s="112"/>
      <c r="J17" s="112"/>
      <c r="K17" s="158"/>
    </row>
    <row r="18" spans="2:11" ht="15" customHeight="1">
      <c r="B18" s="154" t="s">
        <v>87</v>
      </c>
      <c r="C18" s="207">
        <v>0.38</v>
      </c>
      <c r="D18" s="207"/>
      <c r="E18" s="112"/>
      <c r="F18" s="112"/>
      <c r="G18" s="112"/>
      <c r="H18" s="112"/>
      <c r="I18" s="112"/>
      <c r="J18" s="208"/>
      <c r="K18" s="158"/>
    </row>
    <row r="19" spans="2:11" ht="15" customHeight="1">
      <c r="B19" s="154"/>
      <c r="C19" s="207"/>
      <c r="D19" s="207"/>
      <c r="E19" s="112"/>
      <c r="F19" s="112"/>
      <c r="G19" s="112"/>
      <c r="H19" s="112"/>
      <c r="I19" s="112"/>
      <c r="J19" s="208"/>
      <c r="K19" s="216" t="s">
        <v>72</v>
      </c>
    </row>
    <row r="20" spans="2:11" s="118" customFormat="1" ht="15" customHeight="1">
      <c r="B20" s="209" t="s">
        <v>37</v>
      </c>
      <c r="C20" s="119"/>
      <c r="D20" s="119"/>
      <c r="E20" s="119"/>
      <c r="F20" s="119"/>
      <c r="G20" s="119"/>
      <c r="H20" s="119"/>
      <c r="I20" s="210"/>
      <c r="J20" s="210"/>
      <c r="K20" s="211">
        <f>+K21+K22</f>
        <v>20098.022224029897</v>
      </c>
    </row>
    <row r="21" spans="2:11" s="118" customFormat="1" ht="15" customHeight="1">
      <c r="B21" s="166" t="s">
        <v>91</v>
      </c>
      <c r="C21" s="119"/>
      <c r="D21" s="119"/>
      <c r="E21" s="119"/>
      <c r="F21" s="119"/>
      <c r="G21" s="119"/>
      <c r="H21" s="119"/>
      <c r="I21" s="210"/>
      <c r="J21" s="210"/>
      <c r="K21" s="201">
        <f>+K8*C17/1000</f>
        <v>17232.715772973144</v>
      </c>
    </row>
    <row r="22" spans="2:11" s="118" customFormat="1" ht="15" customHeight="1">
      <c r="B22" s="166" t="s">
        <v>92</v>
      </c>
      <c r="C22" s="119"/>
      <c r="D22" s="119"/>
      <c r="E22" s="119"/>
      <c r="F22" s="119"/>
      <c r="G22" s="119"/>
      <c r="H22" s="119"/>
      <c r="I22" s="210"/>
      <c r="J22" s="210"/>
      <c r="K22" s="201">
        <f>+J9*C17/1000*$C$18</f>
        <v>2865.3064510567538</v>
      </c>
    </row>
    <row r="23" spans="2:11" s="118" customFormat="1" ht="15" customHeight="1" thickBot="1">
      <c r="B23" s="212" t="s">
        <v>97</v>
      </c>
      <c r="C23" s="213"/>
      <c r="D23" s="213"/>
      <c r="E23" s="213"/>
      <c r="F23" s="213"/>
      <c r="G23" s="213"/>
      <c r="H23" s="213"/>
      <c r="I23" s="214"/>
      <c r="J23" s="214"/>
      <c r="K23" s="215">
        <f>(C11*C17-(G11*C17*$C$18+H11*C17*(1-$C$18)))/1000</f>
        <v>8000.1250951681368</v>
      </c>
    </row>
    <row r="24" spans="2:11" s="118" customFormat="1">
      <c r="B24" s="180"/>
      <c r="G24" s="181"/>
      <c r="H24" s="181"/>
      <c r="I24" s="181"/>
      <c r="J24" s="182"/>
      <c r="K24" s="179"/>
    </row>
    <row r="25" spans="2:11" ht="15" thickBot="1">
      <c r="J25" s="183"/>
    </row>
    <row r="26" spans="2:11">
      <c r="B26" s="152" t="s">
        <v>79</v>
      </c>
      <c r="C26" s="111"/>
      <c r="D26" s="111"/>
      <c r="E26" s="111"/>
      <c r="F26" s="111"/>
      <c r="G26" s="111"/>
      <c r="H26" s="111"/>
      <c r="I26" s="111"/>
      <c r="J26" s="111"/>
      <c r="K26" s="196"/>
    </row>
    <row r="27" spans="2:11" ht="22.5" customHeight="1">
      <c r="B27" s="260" t="s">
        <v>85</v>
      </c>
      <c r="C27" s="268" t="s">
        <v>113</v>
      </c>
      <c r="D27" s="269"/>
      <c r="E27" s="270" t="s">
        <v>83</v>
      </c>
      <c r="F27" s="271"/>
      <c r="G27" s="263" t="s">
        <v>66</v>
      </c>
      <c r="H27" s="263"/>
      <c r="I27" s="265" t="s">
        <v>74</v>
      </c>
      <c r="J27" s="263" t="s">
        <v>114</v>
      </c>
      <c r="K27" s="264"/>
    </row>
    <row r="28" spans="2:11" ht="22.5" customHeight="1">
      <c r="B28" s="267"/>
      <c r="C28" s="184" t="s">
        <v>58</v>
      </c>
      <c r="D28" s="184" t="s">
        <v>4</v>
      </c>
      <c r="E28" s="184" t="s">
        <v>58</v>
      </c>
      <c r="F28" s="184" t="s">
        <v>4</v>
      </c>
      <c r="G28" s="184" t="s">
        <v>58</v>
      </c>
      <c r="H28" s="184" t="s">
        <v>4</v>
      </c>
      <c r="I28" s="266"/>
      <c r="J28" s="184" t="s">
        <v>58</v>
      </c>
      <c r="K28" s="197" t="s">
        <v>4</v>
      </c>
    </row>
    <row r="29" spans="2:11" ht="16.5" customHeight="1">
      <c r="B29" s="156" t="s">
        <v>84</v>
      </c>
      <c r="C29" s="217">
        <v>1196</v>
      </c>
      <c r="D29" s="217">
        <v>1196</v>
      </c>
      <c r="E29" s="217">
        <v>640</v>
      </c>
      <c r="F29" s="217">
        <v>640</v>
      </c>
      <c r="G29" s="218">
        <f>+'Hoja de datos'!E49</f>
        <v>774.02666666666664</v>
      </c>
      <c r="H29" s="218">
        <f>'Hoja de datos'!E49</f>
        <v>774.02666666666664</v>
      </c>
      <c r="I29" s="200"/>
      <c r="J29" s="218">
        <f>+C29-G29</f>
        <v>421.97333333333336</v>
      </c>
      <c r="K29" s="224">
        <f>+D29-H29</f>
        <v>421.97333333333336</v>
      </c>
    </row>
    <row r="30" spans="2:11" ht="16.5" customHeight="1">
      <c r="B30" s="156" t="s">
        <v>39</v>
      </c>
      <c r="C30" s="218">
        <f>+C29*$C$36/(1-$C$36)</f>
        <v>672.75</v>
      </c>
      <c r="D30" s="218">
        <f>+D29*$C$35/(1-$C$35)</f>
        <v>1295.666666666667</v>
      </c>
      <c r="E30" s="218">
        <f>+E29*$E$36/(1-$E$36)</f>
        <v>409.18032786885249</v>
      </c>
      <c r="F30" s="218">
        <f>+F29*$E$35/(1-$E$35)</f>
        <v>590.76923076923072</v>
      </c>
      <c r="G30" s="218">
        <f>+'Hoja de datos'!E50</f>
        <v>494.86950819672137</v>
      </c>
      <c r="H30" s="218">
        <f>D30</f>
        <v>1295.666666666667</v>
      </c>
      <c r="I30" s="200"/>
      <c r="J30" s="218">
        <f>+C30-G30</f>
        <v>177.88049180327863</v>
      </c>
      <c r="K30" s="201">
        <f t="shared" ref="K30:K33" si="3">+D30-H30</f>
        <v>0</v>
      </c>
    </row>
    <row r="31" spans="2:11" ht="16.5" customHeight="1">
      <c r="B31" s="156" t="s">
        <v>64</v>
      </c>
      <c r="C31" s="218">
        <f>+C29+C30</f>
        <v>1868.75</v>
      </c>
      <c r="D31" s="218">
        <f>+D29+D30</f>
        <v>2491.666666666667</v>
      </c>
      <c r="E31" s="218">
        <f>+E29+E30</f>
        <v>1049.1803278688526</v>
      </c>
      <c r="F31" s="218">
        <f>+F29+F30</f>
        <v>1230.7692307692307</v>
      </c>
      <c r="G31" s="218">
        <f>+G30+G29</f>
        <v>1268.8961748633881</v>
      </c>
      <c r="H31" s="218">
        <f>+H29+H30</f>
        <v>2069.6933333333336</v>
      </c>
      <c r="I31" s="200"/>
      <c r="J31" s="218"/>
      <c r="K31" s="201"/>
    </row>
    <row r="32" spans="2:11" ht="16.5" customHeight="1">
      <c r="B32" s="156" t="s">
        <v>34</v>
      </c>
      <c r="C32" s="218">
        <f>+C31*0.27</f>
        <v>504.56250000000006</v>
      </c>
      <c r="D32" s="218">
        <f>+D31*0.27</f>
        <v>672.75000000000011</v>
      </c>
      <c r="E32" s="218">
        <f>+E31*0.27</f>
        <v>283.27868852459022</v>
      </c>
      <c r="F32" s="218">
        <f>+F31*0.27</f>
        <v>332.30769230769232</v>
      </c>
      <c r="G32" s="218">
        <f>+G31*$I32</f>
        <v>266.46819672131147</v>
      </c>
      <c r="H32" s="218">
        <f>+H31*$I32</f>
        <v>434.63560000000007</v>
      </c>
      <c r="I32" s="259">
        <v>0.21</v>
      </c>
      <c r="J32" s="218">
        <f>+C32-G32</f>
        <v>238.09430327868859</v>
      </c>
      <c r="K32" s="201">
        <f t="shared" si="3"/>
        <v>238.11440000000005</v>
      </c>
    </row>
    <row r="33" spans="2:11" ht="16.5" customHeight="1">
      <c r="B33" s="159" t="s">
        <v>36</v>
      </c>
      <c r="C33" s="219">
        <f t="shared" ref="C33:H33" si="4">+C32+C31</f>
        <v>2373.3125</v>
      </c>
      <c r="D33" s="219">
        <f t="shared" si="4"/>
        <v>3164.416666666667</v>
      </c>
      <c r="E33" s="219">
        <f t="shared" si="4"/>
        <v>1332.4590163934429</v>
      </c>
      <c r="F33" s="219">
        <f t="shared" si="4"/>
        <v>1563.0769230769231</v>
      </c>
      <c r="G33" s="219">
        <f t="shared" si="4"/>
        <v>1535.3643715846995</v>
      </c>
      <c r="H33" s="219">
        <f t="shared" si="4"/>
        <v>2504.3289333333337</v>
      </c>
      <c r="I33" s="203"/>
      <c r="J33" s="219">
        <f>+C33-G33</f>
        <v>837.94812841530052</v>
      </c>
      <c r="K33" s="204">
        <f t="shared" si="3"/>
        <v>660.08773333333329</v>
      </c>
    </row>
    <row r="34" spans="2:11">
      <c r="B34" s="154"/>
      <c r="C34" s="112"/>
      <c r="D34" s="112"/>
      <c r="E34" s="112"/>
      <c r="F34" s="112"/>
      <c r="G34" s="112"/>
      <c r="H34" s="112"/>
      <c r="I34" s="112"/>
      <c r="J34" s="112"/>
      <c r="K34" s="158"/>
    </row>
    <row r="35" spans="2:11" ht="15" customHeight="1">
      <c r="B35" s="154" t="s">
        <v>100</v>
      </c>
      <c r="C35" s="174">
        <v>0.52</v>
      </c>
      <c r="D35" s="112"/>
      <c r="E35" s="174">
        <v>0.48</v>
      </c>
      <c r="F35" s="112"/>
      <c r="G35" s="112"/>
      <c r="H35" s="112"/>
      <c r="I35" s="112"/>
      <c r="J35" s="112"/>
      <c r="K35" s="158"/>
    </row>
    <row r="36" spans="2:11" ht="15" customHeight="1">
      <c r="B36" s="154" t="s">
        <v>101</v>
      </c>
      <c r="C36" s="174">
        <v>0.36</v>
      </c>
      <c r="D36" s="112"/>
      <c r="E36" s="174">
        <v>0.39</v>
      </c>
      <c r="F36" s="112"/>
      <c r="G36" s="112"/>
      <c r="H36" s="112"/>
      <c r="I36" s="112"/>
      <c r="J36" s="112"/>
      <c r="K36" s="158"/>
    </row>
    <row r="37" spans="2:11" ht="15" customHeight="1">
      <c r="B37" s="154" t="s">
        <v>90</v>
      </c>
      <c r="C37" s="134">
        <v>0.28999999999999998</v>
      </c>
      <c r="D37" s="112"/>
      <c r="E37" s="112"/>
      <c r="F37" s="112"/>
      <c r="G37" s="112"/>
      <c r="H37" s="112"/>
      <c r="I37" s="112"/>
      <c r="J37" s="112"/>
      <c r="K37" s="158"/>
    </row>
    <row r="38" spans="2:11" ht="15" customHeight="1">
      <c r="B38" s="154" t="s">
        <v>88</v>
      </c>
      <c r="C38" s="206">
        <f>+$C$3*C37</f>
        <v>38258.829999999994</v>
      </c>
      <c r="D38" s="112"/>
      <c r="E38" s="112"/>
      <c r="F38" s="112"/>
      <c r="G38" s="112"/>
      <c r="H38" s="112"/>
      <c r="I38" s="112"/>
      <c r="J38" s="112"/>
      <c r="K38" s="158"/>
    </row>
    <row r="39" spans="2:11" ht="15" customHeight="1">
      <c r="B39" s="154" t="s">
        <v>87</v>
      </c>
      <c r="C39" s="207">
        <v>0.38</v>
      </c>
      <c r="D39" s="112"/>
      <c r="E39" s="112"/>
      <c r="F39" s="112"/>
      <c r="G39" s="112"/>
      <c r="H39" s="112"/>
      <c r="I39" s="112"/>
      <c r="J39" s="112"/>
      <c r="K39" s="158"/>
    </row>
    <row r="40" spans="2:11" ht="15" customHeight="1">
      <c r="B40" s="154"/>
      <c r="C40" s="112"/>
      <c r="D40" s="112"/>
      <c r="E40" s="112"/>
      <c r="F40" s="112"/>
      <c r="G40" s="112"/>
      <c r="H40" s="112"/>
      <c r="I40" s="112"/>
      <c r="J40" s="208"/>
      <c r="K40" s="216" t="s">
        <v>72</v>
      </c>
    </row>
    <row r="41" spans="2:11" ht="15" customHeight="1">
      <c r="B41" s="209" t="s">
        <v>37</v>
      </c>
      <c r="C41" s="119"/>
      <c r="D41" s="119"/>
      <c r="E41" s="119"/>
      <c r="F41" s="119"/>
      <c r="G41" s="119"/>
      <c r="H41" s="112"/>
      <c r="I41" s="210"/>
      <c r="J41" s="210"/>
      <c r="K41" s="211">
        <f>+K42+K43</f>
        <v>18730.295833096181</v>
      </c>
    </row>
    <row r="42" spans="2:11" ht="15" customHeight="1">
      <c r="B42" s="162" t="s">
        <v>42</v>
      </c>
      <c r="C42" s="119"/>
      <c r="D42" s="119"/>
      <c r="E42" s="119"/>
      <c r="F42" s="119"/>
      <c r="G42" s="119"/>
      <c r="H42" s="112"/>
      <c r="I42" s="210"/>
      <c r="J42" s="210"/>
      <c r="K42" s="201">
        <f>+J29*C38/1000</f>
        <v>16144.20602453333</v>
      </c>
    </row>
    <row r="43" spans="2:11" ht="15" customHeight="1">
      <c r="B43" s="162" t="s">
        <v>41</v>
      </c>
      <c r="C43" s="119"/>
      <c r="D43" s="119"/>
      <c r="E43" s="119"/>
      <c r="F43" s="119"/>
      <c r="G43" s="119"/>
      <c r="H43" s="112"/>
      <c r="I43" s="210"/>
      <c r="J43" s="210"/>
      <c r="K43" s="201">
        <f>+J30*C38/1000*$C$39</f>
        <v>2586.089808562851</v>
      </c>
    </row>
    <row r="44" spans="2:11" ht="15" customHeight="1" thickBot="1">
      <c r="B44" s="212" t="s">
        <v>97</v>
      </c>
      <c r="C44" s="213"/>
      <c r="D44" s="213"/>
      <c r="E44" s="213"/>
      <c r="F44" s="213"/>
      <c r="G44" s="220"/>
      <c r="H44" s="221"/>
      <c r="I44" s="214"/>
      <c r="J44" s="214"/>
      <c r="K44" s="215">
        <f>(C32*C38-(G32*C38*$C$39+H32*C38*(1-$C$39)))/1000</f>
        <v>5120.1988550876995</v>
      </c>
    </row>
    <row r="45" spans="2:11">
      <c r="B45" s="180"/>
      <c r="C45" s="118"/>
      <c r="D45" s="118"/>
      <c r="E45" s="118"/>
      <c r="F45" s="118"/>
      <c r="G45" s="181"/>
      <c r="I45" s="186"/>
      <c r="J45" s="186"/>
      <c r="K45" s="187"/>
    </row>
    <row r="46" spans="2:11">
      <c r="H46" s="188"/>
      <c r="I46" s="188"/>
      <c r="J46" s="188"/>
    </row>
    <row r="47" spans="2:11" ht="15" thickBot="1">
      <c r="H47" s="188"/>
      <c r="I47" s="188"/>
      <c r="J47" s="188"/>
    </row>
    <row r="48" spans="2:11" ht="16.5" customHeight="1" thickBot="1">
      <c r="B48" s="136" t="s">
        <v>37</v>
      </c>
      <c r="C48" s="137"/>
      <c r="D48" s="137"/>
      <c r="E48" s="137"/>
      <c r="F48" s="137"/>
      <c r="G48" s="137"/>
      <c r="H48" s="189"/>
      <c r="I48" s="189"/>
      <c r="J48" s="189"/>
      <c r="K48" s="190">
        <f>+K20+K41</f>
        <v>38828.318057126075</v>
      </c>
    </row>
    <row r="49" spans="2:11" ht="16.5" customHeight="1">
      <c r="B49" s="225" t="s">
        <v>108</v>
      </c>
      <c r="C49" s="137"/>
      <c r="D49" s="137"/>
      <c r="E49" s="137"/>
      <c r="F49" s="137"/>
      <c r="G49" s="137"/>
      <c r="H49" s="189"/>
      <c r="I49" s="189"/>
      <c r="J49" s="189"/>
      <c r="K49" s="191">
        <f>+K21+K42</f>
        <v>33376.921797506475</v>
      </c>
    </row>
    <row r="50" spans="2:11" ht="16.5" customHeight="1" thickBot="1">
      <c r="B50" s="226" t="s">
        <v>109</v>
      </c>
      <c r="C50" s="138"/>
      <c r="D50" s="138"/>
      <c r="E50" s="138"/>
      <c r="F50" s="138"/>
      <c r="G50" s="138"/>
      <c r="H50" s="192"/>
      <c r="I50" s="192"/>
      <c r="J50" s="192"/>
      <c r="K50" s="193">
        <f>+K22+K43</f>
        <v>5451.3962596196052</v>
      </c>
    </row>
    <row r="51" spans="2:11" ht="16.5" customHeight="1" thickBot="1">
      <c r="B51" s="139" t="s">
        <v>38</v>
      </c>
      <c r="C51" s="140"/>
      <c r="D51" s="140"/>
      <c r="E51" s="140"/>
      <c r="F51" s="140"/>
      <c r="G51" s="140"/>
      <c r="H51" s="194"/>
      <c r="I51" s="194"/>
      <c r="J51" s="194"/>
      <c r="K51" s="195">
        <f>+K23+K44</f>
        <v>13120.323950255835</v>
      </c>
    </row>
  </sheetData>
  <mergeCells count="12">
    <mergeCell ref="B6:B7"/>
    <mergeCell ref="J27:K27"/>
    <mergeCell ref="B27:B28"/>
    <mergeCell ref="G27:H27"/>
    <mergeCell ref="I27:I28"/>
    <mergeCell ref="J6:K6"/>
    <mergeCell ref="C6:D6"/>
    <mergeCell ref="E6:F6"/>
    <mergeCell ref="C27:D27"/>
    <mergeCell ref="E27:F27"/>
    <mergeCell ref="G6:H6"/>
    <mergeCell ref="I6:I7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workbookViewId="0">
      <selection activeCell="D10" sqref="D10"/>
    </sheetView>
  </sheetViews>
  <sheetFormatPr baseColWidth="10" defaultColWidth="9.1640625" defaultRowHeight="14" x14ac:dyDescent="0"/>
  <cols>
    <col min="1" max="1" width="28.83203125" customWidth="1"/>
    <col min="2" max="2" width="11.5" bestFit="1" customWidth="1"/>
    <col min="3" max="4" width="12" bestFit="1" customWidth="1"/>
    <col min="5" max="5" width="14.33203125" bestFit="1" customWidth="1"/>
    <col min="6" max="6" width="10.6640625" bestFit="1" customWidth="1"/>
    <col min="7" max="7" width="13.5" bestFit="1" customWidth="1"/>
    <col min="8" max="8" width="10.6640625" bestFit="1" customWidth="1"/>
  </cols>
  <sheetData>
    <row r="1" spans="1:8">
      <c r="A1" s="77" t="s">
        <v>7</v>
      </c>
      <c r="B1" s="20"/>
      <c r="C1" s="20"/>
      <c r="D1" s="20"/>
      <c r="E1" s="20"/>
    </row>
    <row r="2" spans="1:8" ht="15" thickBot="1">
      <c r="A2" s="20"/>
      <c r="B2" s="20"/>
      <c r="C2" s="20"/>
      <c r="D2" s="20"/>
      <c r="E2" s="20"/>
    </row>
    <row r="3" spans="1:8">
      <c r="A3" s="20"/>
      <c r="B3" s="20"/>
      <c r="C3" s="272" t="s">
        <v>1</v>
      </c>
      <c r="D3" s="273"/>
      <c r="E3" s="272" t="s">
        <v>2</v>
      </c>
      <c r="F3" s="274"/>
    </row>
    <row r="4" spans="1:8" s="2" customFormat="1" ht="42">
      <c r="A4" s="17"/>
      <c r="B4" s="17"/>
      <c r="C4" s="16" t="s">
        <v>53</v>
      </c>
      <c r="D4" s="17" t="s">
        <v>112</v>
      </c>
      <c r="E4" s="16" t="s">
        <v>53</v>
      </c>
      <c r="F4" s="18" t="s">
        <v>112</v>
      </c>
    </row>
    <row r="5" spans="1:8">
      <c r="A5" s="77" t="s">
        <v>5</v>
      </c>
      <c r="B5" s="29"/>
      <c r="C5" s="19"/>
      <c r="D5" s="20"/>
      <c r="E5" s="19"/>
      <c r="F5" s="21"/>
    </row>
    <row r="6" spans="1:8">
      <c r="A6" s="20" t="s">
        <v>104</v>
      </c>
      <c r="B6" s="20"/>
      <c r="C6" s="22">
        <v>4.3013532913658556</v>
      </c>
      <c r="D6" s="23">
        <v>5.01</v>
      </c>
      <c r="E6" s="27">
        <v>608</v>
      </c>
      <c r="F6" s="28">
        <v>1191</v>
      </c>
    </row>
    <row r="7" spans="1:8">
      <c r="A7" s="20" t="s">
        <v>105</v>
      </c>
      <c r="B7" s="20"/>
      <c r="C7" s="22">
        <v>1.602120762036273</v>
      </c>
      <c r="D7" s="23">
        <v>2.0499999999999998</v>
      </c>
      <c r="E7" s="27"/>
      <c r="F7" s="28"/>
    </row>
    <row r="8" spans="1:8">
      <c r="A8" s="20" t="s">
        <v>54</v>
      </c>
      <c r="B8" s="20"/>
      <c r="C8" s="22">
        <v>1.4642350791894176</v>
      </c>
      <c r="D8" s="23">
        <v>2.4460000000000002</v>
      </c>
      <c r="E8" s="27">
        <v>640</v>
      </c>
      <c r="F8" s="28">
        <v>1196</v>
      </c>
    </row>
    <row r="9" spans="1:8" ht="15" thickBot="1">
      <c r="A9" s="20"/>
      <c r="B9" s="20"/>
      <c r="C9" s="24"/>
      <c r="D9" s="25"/>
      <c r="E9" s="24"/>
      <c r="F9" s="26"/>
    </row>
    <row r="10" spans="1:8">
      <c r="A10" s="79" t="s">
        <v>103</v>
      </c>
      <c r="B10" s="20"/>
      <c r="C10" s="80">
        <v>0.46</v>
      </c>
      <c r="D10" s="20"/>
      <c r="E10" s="80">
        <v>0.48</v>
      </c>
      <c r="F10" s="20" t="s">
        <v>4</v>
      </c>
    </row>
    <row r="11" spans="1:8">
      <c r="A11" s="20"/>
      <c r="B11" s="20"/>
      <c r="C11" s="20"/>
      <c r="D11" s="20"/>
      <c r="E11" s="80">
        <v>0.39</v>
      </c>
      <c r="F11" s="20" t="s">
        <v>58</v>
      </c>
    </row>
    <row r="12" spans="1:8">
      <c r="A12" s="20"/>
      <c r="B12" s="20"/>
      <c r="C12" s="20"/>
      <c r="D12" s="20"/>
      <c r="E12" s="20"/>
      <c r="F12" s="20"/>
      <c r="G12" s="20"/>
      <c r="H12" s="20"/>
    </row>
    <row r="13" spans="1:8">
      <c r="A13" s="15" t="s">
        <v>6</v>
      </c>
      <c r="H13" s="20"/>
    </row>
    <row r="14" spans="1:8">
      <c r="A14" s="144">
        <v>43039</v>
      </c>
      <c r="B14" s="145">
        <v>17.671299999999999</v>
      </c>
      <c r="H14" s="20"/>
    </row>
    <row r="15" spans="1:8">
      <c r="A15" s="143" t="s">
        <v>98</v>
      </c>
      <c r="B15" s="146">
        <v>16.559999999999999</v>
      </c>
    </row>
    <row r="16" spans="1:8">
      <c r="A16" s="143" t="s">
        <v>46</v>
      </c>
      <c r="B16" s="146">
        <v>20.96</v>
      </c>
    </row>
    <row r="19" spans="1:8">
      <c r="B19" s="73">
        <v>42736</v>
      </c>
      <c r="C19" s="73">
        <v>42947</v>
      </c>
      <c r="D19" s="73">
        <v>43312</v>
      </c>
      <c r="F19" s="73"/>
      <c r="H19" s="73"/>
    </row>
    <row r="20" spans="1:8">
      <c r="A20" t="s">
        <v>45</v>
      </c>
      <c r="B20" s="75">
        <v>102.76</v>
      </c>
      <c r="C20" s="74">
        <v>121.18999999999998</v>
      </c>
      <c r="D20" s="74">
        <v>141.88</v>
      </c>
      <c r="F20" s="74"/>
    </row>
    <row r="21" spans="1:8">
      <c r="A21" t="s">
        <v>111</v>
      </c>
      <c r="C21" s="1">
        <f>+C20/B20-1</f>
        <v>0.17934994161152185</v>
      </c>
      <c r="D21" s="1">
        <f>D20/C20-1</f>
        <v>0.17072365706741488</v>
      </c>
    </row>
    <row r="22" spans="1:8">
      <c r="C22" s="1"/>
    </row>
    <row r="23" spans="1:8">
      <c r="B23" s="73">
        <v>42736</v>
      </c>
      <c r="C23" s="73">
        <v>42947</v>
      </c>
      <c r="D23" s="73">
        <v>43220</v>
      </c>
    </row>
    <row r="24" spans="1:8">
      <c r="A24" t="s">
        <v>50</v>
      </c>
      <c r="B24" s="78">
        <v>1</v>
      </c>
      <c r="C24" s="76">
        <v>1.1040000000000001</v>
      </c>
      <c r="D24" s="76">
        <v>1.357</v>
      </c>
    </row>
    <row r="25" spans="1:8">
      <c r="A25" t="s">
        <v>111</v>
      </c>
      <c r="C25" s="1">
        <f>+C24/B24-1</f>
        <v>0.10400000000000009</v>
      </c>
      <c r="D25" s="13">
        <f>D24/C24-1</f>
        <v>0.22916666666666652</v>
      </c>
    </row>
    <row r="26" spans="1:8">
      <c r="C26" s="1"/>
      <c r="D26" s="13"/>
    </row>
    <row r="27" spans="1:8">
      <c r="A27" s="15" t="s">
        <v>43</v>
      </c>
      <c r="D27" s="1"/>
      <c r="E27" s="1"/>
    </row>
    <row r="28" spans="1:8">
      <c r="A28" s="15" t="s">
        <v>110</v>
      </c>
      <c r="B28" s="73">
        <v>43039</v>
      </c>
      <c r="C28" s="73">
        <v>43040</v>
      </c>
      <c r="D28" s="73">
        <v>43405</v>
      </c>
      <c r="E28" s="73" t="s">
        <v>46</v>
      </c>
      <c r="F28" s="73"/>
      <c r="G28" s="73"/>
      <c r="H28" s="73"/>
    </row>
    <row r="29" spans="1:8">
      <c r="A29" t="s">
        <v>47</v>
      </c>
      <c r="B29" s="72">
        <f>'Gas natural'!D8*B14</f>
        <v>75.986589999999993</v>
      </c>
      <c r="C29" s="71">
        <f>+B29*(1+$C$21)</f>
        <v>89.614780479758636</v>
      </c>
      <c r="D29" s="71">
        <f>+C29*(1+$D$21)</f>
        <v>104.91414353055661</v>
      </c>
      <c r="E29" s="71">
        <f>+(C29*10+D29*2)/12</f>
        <v>92.164674321558309</v>
      </c>
      <c r="F29" s="71"/>
    </row>
    <row r="30" spans="1:8">
      <c r="A30" t="s">
        <v>48</v>
      </c>
      <c r="B30" s="71">
        <f>B29*$C$10/(1-$C$10)</f>
        <v>64.729317407407407</v>
      </c>
      <c r="C30" s="71">
        <f>+B30*(1+$C$21)</f>
        <v>76.338516704979597</v>
      </c>
      <c r="D30" s="71">
        <f>+C30*(1+$D$21)</f>
        <v>89.371307451955659</v>
      </c>
      <c r="E30" s="71">
        <f>+(C30*10+D30*2)/12</f>
        <v>78.510648496142281</v>
      </c>
      <c r="F30" s="71"/>
    </row>
    <row r="31" spans="1:8">
      <c r="C31" s="1"/>
      <c r="D31" s="71"/>
    </row>
    <row r="32" spans="1:8">
      <c r="A32" s="15" t="s">
        <v>52</v>
      </c>
      <c r="C32" s="14"/>
    </row>
    <row r="33" spans="1:8">
      <c r="A33" t="s">
        <v>47</v>
      </c>
      <c r="B33" s="71">
        <f>'Gas natural'!D29*B14</f>
        <v>28.311556622171587</v>
      </c>
      <c r="C33" s="71">
        <f>+B33*(1+$C$21)</f>
        <v>33.389232649289355</v>
      </c>
      <c r="D33" s="71">
        <f>+C33*(1+$D$21)</f>
        <v>39.089564553850764</v>
      </c>
      <c r="E33" s="71">
        <f>+(C33*10+D33*2)/12</f>
        <v>34.339287966716256</v>
      </c>
    </row>
    <row r="34" spans="1:8">
      <c r="A34" t="s">
        <v>48</v>
      </c>
      <c r="B34" s="71">
        <f>B33*$C$10/(1-$C$10)</f>
        <v>24.117251937405424</v>
      </c>
      <c r="C34" s="71">
        <f>+B34*(1+$C$21)</f>
        <v>28.44267966420945</v>
      </c>
      <c r="D34" s="71">
        <f>+C34*(1+$D$21)</f>
        <v>33.298517953280282</v>
      </c>
      <c r="E34" s="71">
        <f>+(C34*10+D34*2)/12</f>
        <v>29.251986045721253</v>
      </c>
    </row>
    <row r="36" spans="1:8">
      <c r="A36" s="15" t="s">
        <v>49</v>
      </c>
      <c r="B36" s="73">
        <v>43039</v>
      </c>
      <c r="C36" s="73">
        <v>43040</v>
      </c>
      <c r="D36" s="73">
        <v>43312</v>
      </c>
      <c r="E36" s="73" t="s">
        <v>46</v>
      </c>
    </row>
    <row r="37" spans="1:8">
      <c r="A37" t="s">
        <v>47</v>
      </c>
      <c r="B37" s="71">
        <f>'Gas natural'!D49*B14</f>
        <v>25.874937354879954</v>
      </c>
      <c r="C37" s="71">
        <f>+B37*(1+$C$25)</f>
        <v>28.565930839787473</v>
      </c>
      <c r="D37" s="71">
        <f>+C37*(1+$D$25)</f>
        <v>35.112289990572101</v>
      </c>
      <c r="E37" s="71">
        <f>+(C37*7+D37*5)/12</f>
        <v>31.293580485947732</v>
      </c>
    </row>
    <row r="38" spans="1:8">
      <c r="A38" t="s">
        <v>48</v>
      </c>
      <c r="B38" s="71">
        <f>B37*$C$10/(1-$C$10)</f>
        <v>22.041613302305144</v>
      </c>
      <c r="C38" s="71">
        <f>+B38*(1+$C$25)</f>
        <v>24.333941085744883</v>
      </c>
      <c r="D38" s="71">
        <f>+C38*(1+$D$25)</f>
        <v>29.910469251228083</v>
      </c>
      <c r="E38" s="71">
        <f>+(C38*7+D38*5)/12</f>
        <v>26.657494488029553</v>
      </c>
    </row>
    <row r="43" spans="1:8">
      <c r="A43" s="15" t="s">
        <v>51</v>
      </c>
    </row>
    <row r="44" spans="1:8">
      <c r="A44" s="15" t="s">
        <v>44</v>
      </c>
      <c r="B44" s="73">
        <v>43039</v>
      </c>
      <c r="C44" s="73">
        <v>43040</v>
      </c>
      <c r="D44" s="73">
        <v>43405</v>
      </c>
      <c r="E44" s="73" t="s">
        <v>46</v>
      </c>
      <c r="F44" s="73"/>
      <c r="G44" s="73"/>
      <c r="H44" s="73"/>
    </row>
    <row r="45" spans="1:8">
      <c r="A45" t="s">
        <v>47</v>
      </c>
      <c r="B45" s="71">
        <f>Electricidad!E8</f>
        <v>608</v>
      </c>
      <c r="C45" s="71">
        <f>+B45*(1+$C$21)</f>
        <v>717.0447644998053</v>
      </c>
      <c r="D45" s="71">
        <f>+C45*(1+D$21)</f>
        <v>839.46126897625527</v>
      </c>
      <c r="E45" s="71">
        <f>+(C45*10+D45*2)/12</f>
        <v>737.44751524588025</v>
      </c>
      <c r="F45" s="71"/>
    </row>
    <row r="46" spans="1:8">
      <c r="A46" t="s">
        <v>102</v>
      </c>
      <c r="B46" s="71">
        <f>+B45*$E$11/(1-$E$11)</f>
        <v>388.72131147540983</v>
      </c>
      <c r="C46" s="71">
        <f>+B46*(1+$C$21)</f>
        <v>458.43845599167878</v>
      </c>
      <c r="D46" s="71">
        <f>+C46*(1+D$21)</f>
        <v>536.70474573891727</v>
      </c>
      <c r="E46" s="71">
        <f>+(C46*10+D46*2)/12</f>
        <v>471.48283761621855</v>
      </c>
      <c r="F46" s="71"/>
    </row>
    <row r="47" spans="1:8">
      <c r="C47" s="1"/>
      <c r="D47" s="71"/>
    </row>
    <row r="48" spans="1:8">
      <c r="A48" s="15" t="s">
        <v>49</v>
      </c>
      <c r="B48" s="73">
        <v>43039</v>
      </c>
      <c r="C48" s="73">
        <v>43040</v>
      </c>
      <c r="D48" s="73">
        <v>43312</v>
      </c>
      <c r="E48" s="73" t="s">
        <v>46</v>
      </c>
    </row>
    <row r="49" spans="1:5">
      <c r="A49" t="s">
        <v>47</v>
      </c>
      <c r="B49" s="71">
        <f>Electricidad!E29</f>
        <v>640</v>
      </c>
      <c r="C49" s="71">
        <f>+B49*(1+C$25)</f>
        <v>706.56000000000006</v>
      </c>
      <c r="D49" s="71">
        <f>+C49*(1+D$25)</f>
        <v>868.48</v>
      </c>
      <c r="E49" s="71">
        <f>+(C49*7+D49*5)/12</f>
        <v>774.02666666666664</v>
      </c>
    </row>
    <row r="50" spans="1:5">
      <c r="A50" t="s">
        <v>102</v>
      </c>
      <c r="B50" s="71">
        <f>+B49*$E$11/(1-$E$11)</f>
        <v>409.18032786885249</v>
      </c>
      <c r="C50" s="71">
        <f>+B50*(1+C$25)</f>
        <v>451.7350819672132</v>
      </c>
      <c r="D50" s="71">
        <f>+C50*(1+D$25)</f>
        <v>555.2577049180328</v>
      </c>
      <c r="E50" s="71">
        <f>+(C50*7+D50*5)/12</f>
        <v>494.86950819672137</v>
      </c>
    </row>
  </sheetData>
  <mergeCells count="2">
    <mergeCell ref="C3:D3"/>
    <mergeCell ref="E3:F3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topLeftCell="B11" workbookViewId="0">
      <selection activeCell="C27" sqref="C27"/>
    </sheetView>
  </sheetViews>
  <sheetFormatPr baseColWidth="10" defaultColWidth="9.1640625" defaultRowHeight="14" x14ac:dyDescent="0"/>
  <sheetData>
    <row r="2" spans="2:19" ht="15" thickBot="1"/>
    <row r="3" spans="2:19" ht="91">
      <c r="C3" s="3" t="s">
        <v>3</v>
      </c>
      <c r="M3" s="3" t="s">
        <v>3</v>
      </c>
    </row>
    <row r="4" spans="2:19">
      <c r="B4" s="9">
        <v>42736</v>
      </c>
      <c r="C4" s="4">
        <v>275.64276062363552</v>
      </c>
      <c r="I4">
        <v>1</v>
      </c>
      <c r="L4" s="9">
        <v>42736</v>
      </c>
      <c r="M4" s="4">
        <v>275.64276062363552</v>
      </c>
      <c r="S4">
        <v>1</v>
      </c>
    </row>
    <row r="5" spans="2:19">
      <c r="B5" s="9">
        <v>42767</v>
      </c>
      <c r="C5" s="4">
        <v>256.45884169946027</v>
      </c>
      <c r="I5">
        <v>1</v>
      </c>
      <c r="L5" s="9">
        <v>42767</v>
      </c>
      <c r="M5" s="4">
        <v>256.45884169946027</v>
      </c>
      <c r="S5">
        <v>1</v>
      </c>
    </row>
    <row r="6" spans="2:19">
      <c r="B6" s="9">
        <v>42795</v>
      </c>
      <c r="C6" s="4">
        <v>330.29801285593641</v>
      </c>
      <c r="I6">
        <v>1</v>
      </c>
      <c r="L6" s="9">
        <v>42795</v>
      </c>
      <c r="M6" s="4">
        <v>330.29801285593641</v>
      </c>
      <c r="S6">
        <v>1</v>
      </c>
    </row>
    <row r="7" spans="2:19">
      <c r="B7" s="9">
        <v>42826</v>
      </c>
      <c r="C7" s="4">
        <v>302.13020919148511</v>
      </c>
      <c r="I7">
        <v>1</v>
      </c>
      <c r="L7" s="9">
        <v>42826</v>
      </c>
      <c r="M7" s="4">
        <v>302.13020919148511</v>
      </c>
      <c r="S7">
        <v>1</v>
      </c>
    </row>
    <row r="8" spans="2:19">
      <c r="B8" s="9">
        <v>42856</v>
      </c>
      <c r="C8" s="4">
        <v>331.22527049466441</v>
      </c>
      <c r="I8">
        <v>1.34</v>
      </c>
      <c r="L8" s="9">
        <v>42856</v>
      </c>
      <c r="M8" s="4">
        <v>331.22527049466441</v>
      </c>
      <c r="S8">
        <v>1.34</v>
      </c>
    </row>
    <row r="9" spans="2:19">
      <c r="B9" s="9">
        <v>42887</v>
      </c>
      <c r="C9" s="4">
        <v>331.20795241006857</v>
      </c>
      <c r="I9">
        <v>1.34</v>
      </c>
      <c r="L9" s="9">
        <v>42887</v>
      </c>
      <c r="M9" s="4">
        <v>331.20795241006857</v>
      </c>
      <c r="S9">
        <v>1.34</v>
      </c>
    </row>
    <row r="10" spans="2:19">
      <c r="B10" s="9">
        <v>42917</v>
      </c>
      <c r="C10" s="4">
        <v>353.45888100355285</v>
      </c>
      <c r="I10">
        <v>1.34</v>
      </c>
      <c r="L10" s="9">
        <v>42917</v>
      </c>
      <c r="M10" s="4">
        <v>353.45888100355285</v>
      </c>
      <c r="S10">
        <v>1.34</v>
      </c>
    </row>
    <row r="11" spans="2:19">
      <c r="B11" s="9">
        <v>42948</v>
      </c>
      <c r="C11" s="4">
        <v>357.59329935945868</v>
      </c>
      <c r="I11">
        <v>1.34</v>
      </c>
      <c r="L11" s="9">
        <v>42948</v>
      </c>
      <c r="M11" s="4">
        <v>357.59329935945868</v>
      </c>
      <c r="S11">
        <v>1.34</v>
      </c>
    </row>
    <row r="12" spans="2:19">
      <c r="B12" s="9">
        <v>42979</v>
      </c>
      <c r="C12" s="4">
        <v>363.59435248553802</v>
      </c>
      <c r="I12">
        <v>1.34</v>
      </c>
      <c r="L12" s="9">
        <v>42979</v>
      </c>
      <c r="M12" s="4">
        <v>363.59435248553802</v>
      </c>
      <c r="S12">
        <v>1.34</v>
      </c>
    </row>
    <row r="13" spans="2:19">
      <c r="B13" s="9">
        <v>43009</v>
      </c>
      <c r="C13" s="4">
        <v>376.66637047567934</v>
      </c>
      <c r="I13">
        <v>1.34</v>
      </c>
      <c r="L13" s="9">
        <v>43009</v>
      </c>
      <c r="M13" s="4">
        <v>376.66637047567934</v>
      </c>
      <c r="S13">
        <v>1.34</v>
      </c>
    </row>
    <row r="14" spans="2:19">
      <c r="B14" s="9">
        <v>43040</v>
      </c>
      <c r="C14" s="4">
        <v>383.31584550173557</v>
      </c>
      <c r="I14">
        <v>1.34</v>
      </c>
      <c r="L14" s="9">
        <v>43040</v>
      </c>
      <c r="M14" s="4">
        <v>383.31584550173557</v>
      </c>
      <c r="S14">
        <v>1.34</v>
      </c>
    </row>
    <row r="15" spans="2:19">
      <c r="B15" s="9">
        <v>43070</v>
      </c>
      <c r="C15" s="4">
        <v>375.12983346478762</v>
      </c>
      <c r="D15" s="5">
        <f>SUM(C4:C15)</f>
        <v>4036.7216295660028</v>
      </c>
      <c r="I15">
        <v>1.34</v>
      </c>
      <c r="L15" s="9">
        <v>43070</v>
      </c>
      <c r="M15" s="4">
        <v>375.12983346478762</v>
      </c>
      <c r="N15" s="5">
        <f>SUM(M4:M15)</f>
        <v>4036.7216295660028</v>
      </c>
      <c r="S15">
        <v>1.34</v>
      </c>
    </row>
    <row r="16" spans="2:19">
      <c r="B16" s="9">
        <v>43101</v>
      </c>
      <c r="C16" s="10">
        <f>+C4*(1+F16)</f>
        <v>369.36129923567165</v>
      </c>
      <c r="F16" s="1">
        <f t="shared" ref="F16:F26" si="0">+I16/I4-1</f>
        <v>0.34000000000000008</v>
      </c>
      <c r="I16">
        <v>1.34</v>
      </c>
      <c r="L16" s="9">
        <v>43101</v>
      </c>
      <c r="M16" s="10">
        <f>+M4*(1+P16)</f>
        <v>369.36129923567165</v>
      </c>
      <c r="P16" s="1">
        <f t="shared" ref="P16:P26" si="1">+S16/S4-1</f>
        <v>0.34000000000000008</v>
      </c>
      <c r="S16">
        <v>1.34</v>
      </c>
    </row>
    <row r="17" spans="2:20" ht="15" thickBot="1">
      <c r="B17" s="9">
        <v>43132</v>
      </c>
      <c r="C17" s="10">
        <f t="shared" ref="C17:C27" si="2">+C5*(1+F17)</f>
        <v>343.65484787727678</v>
      </c>
      <c r="D17" s="6"/>
      <c r="F17" s="1">
        <f t="shared" si="0"/>
        <v>0.34000000000000008</v>
      </c>
      <c r="I17">
        <v>1.34</v>
      </c>
      <c r="L17" s="9">
        <v>43132</v>
      </c>
      <c r="M17" s="10">
        <f t="shared" ref="M17:M27" si="3">+M5*(1+P17)</f>
        <v>343.65484787727678</v>
      </c>
      <c r="N17" s="6"/>
      <c r="P17" s="1">
        <f t="shared" si="1"/>
        <v>0.34000000000000008</v>
      </c>
      <c r="S17">
        <v>1.34</v>
      </c>
    </row>
    <row r="18" spans="2:20">
      <c r="B18" s="9">
        <v>43160</v>
      </c>
      <c r="C18" s="10">
        <f t="shared" si="2"/>
        <v>442.59933722695479</v>
      </c>
      <c r="F18" s="1">
        <f t="shared" si="0"/>
        <v>0.34000000000000008</v>
      </c>
      <c r="I18">
        <v>1.34</v>
      </c>
      <c r="L18" s="9">
        <v>43160</v>
      </c>
      <c r="M18" s="10">
        <f t="shared" si="3"/>
        <v>442.59933722695479</v>
      </c>
      <c r="P18" s="1">
        <f t="shared" si="1"/>
        <v>0.34000000000000008</v>
      </c>
      <c r="S18">
        <v>1.34</v>
      </c>
    </row>
    <row r="19" spans="2:20">
      <c r="B19" s="9">
        <v>43191</v>
      </c>
      <c r="C19" s="10">
        <f t="shared" si="2"/>
        <v>404.85448031659007</v>
      </c>
      <c r="F19" s="1">
        <f t="shared" si="0"/>
        <v>0.34000000000000008</v>
      </c>
      <c r="I19">
        <v>1.34</v>
      </c>
      <c r="L19" s="9">
        <v>43191</v>
      </c>
      <c r="M19" s="10">
        <f t="shared" si="3"/>
        <v>404.85448031659007</v>
      </c>
      <c r="P19" s="1">
        <f t="shared" si="1"/>
        <v>0.34000000000000008</v>
      </c>
      <c r="S19">
        <v>1.34</v>
      </c>
    </row>
    <row r="20" spans="2:20">
      <c r="B20" s="9">
        <v>43221</v>
      </c>
      <c r="C20" s="10">
        <f t="shared" si="2"/>
        <v>417.34384082327716</v>
      </c>
      <c r="F20" s="1">
        <f t="shared" si="0"/>
        <v>0.26</v>
      </c>
      <c r="I20">
        <f>+I19*1.26</f>
        <v>1.6884000000000001</v>
      </c>
      <c r="L20" s="9">
        <v>43221</v>
      </c>
      <c r="M20" s="10">
        <f t="shared" si="3"/>
        <v>331.22527049466441</v>
      </c>
      <c r="P20" s="1">
        <f t="shared" si="1"/>
        <v>0</v>
      </c>
      <c r="S20">
        <v>1.34</v>
      </c>
    </row>
    <row r="21" spans="2:20">
      <c r="B21" s="9">
        <v>43252</v>
      </c>
      <c r="C21" s="10">
        <f t="shared" si="2"/>
        <v>417.32202003668641</v>
      </c>
      <c r="F21" s="1">
        <f t="shared" si="0"/>
        <v>0.26</v>
      </c>
      <c r="I21">
        <f>+I20</f>
        <v>1.6884000000000001</v>
      </c>
      <c r="L21" s="9">
        <v>43252</v>
      </c>
      <c r="M21" s="10">
        <f t="shared" si="3"/>
        <v>331.20795241006857</v>
      </c>
      <c r="P21" s="1">
        <f t="shared" si="1"/>
        <v>0</v>
      </c>
      <c r="S21">
        <v>1.34</v>
      </c>
    </row>
    <row r="22" spans="2:20">
      <c r="B22" s="9">
        <v>43282</v>
      </c>
      <c r="C22" s="10">
        <f t="shared" si="2"/>
        <v>445.35819006447662</v>
      </c>
      <c r="F22" s="1">
        <f t="shared" si="0"/>
        <v>0.26</v>
      </c>
      <c r="I22">
        <f t="shared" ref="I22:I27" si="4">+I21</f>
        <v>1.6884000000000001</v>
      </c>
      <c r="L22" s="9">
        <v>43282</v>
      </c>
      <c r="M22" s="10">
        <f t="shared" si="3"/>
        <v>353.45888100355285</v>
      </c>
      <c r="P22" s="1">
        <f t="shared" si="1"/>
        <v>0</v>
      </c>
      <c r="S22">
        <v>1.34</v>
      </c>
    </row>
    <row r="23" spans="2:20">
      <c r="B23" s="9">
        <v>43313</v>
      </c>
      <c r="C23" s="10">
        <f t="shared" si="2"/>
        <v>450.56755719291795</v>
      </c>
      <c r="F23" s="1">
        <f t="shared" si="0"/>
        <v>0.26</v>
      </c>
      <c r="I23">
        <f t="shared" si="4"/>
        <v>1.6884000000000001</v>
      </c>
      <c r="L23" s="9">
        <v>43313</v>
      </c>
      <c r="M23" s="10">
        <f t="shared" si="3"/>
        <v>357.59329935945868</v>
      </c>
      <c r="P23" s="1">
        <f t="shared" si="1"/>
        <v>0</v>
      </c>
      <c r="S23">
        <v>1.34</v>
      </c>
    </row>
    <row r="24" spans="2:20">
      <c r="B24" s="9">
        <v>43344</v>
      </c>
      <c r="C24" s="10">
        <f t="shared" si="2"/>
        <v>458.12888413177791</v>
      </c>
      <c r="F24" s="1">
        <f t="shared" si="0"/>
        <v>0.26</v>
      </c>
      <c r="I24">
        <f t="shared" si="4"/>
        <v>1.6884000000000001</v>
      </c>
      <c r="L24" s="9">
        <v>43344</v>
      </c>
      <c r="M24" s="10">
        <f t="shared" si="3"/>
        <v>363.59435248553802</v>
      </c>
      <c r="P24" s="1">
        <f t="shared" si="1"/>
        <v>0</v>
      </c>
      <c r="S24">
        <v>1.34</v>
      </c>
    </row>
    <row r="25" spans="2:20">
      <c r="B25" s="9">
        <v>43374</v>
      </c>
      <c r="C25" s="10">
        <f t="shared" si="2"/>
        <v>474.59962679935597</v>
      </c>
      <c r="F25" s="1">
        <f t="shared" si="0"/>
        <v>0.26</v>
      </c>
      <c r="I25">
        <f t="shared" si="4"/>
        <v>1.6884000000000001</v>
      </c>
      <c r="L25" s="9">
        <v>43374</v>
      </c>
      <c r="M25" s="10">
        <f t="shared" si="3"/>
        <v>376.66637047567934</v>
      </c>
      <c r="P25" s="1">
        <f t="shared" si="1"/>
        <v>0</v>
      </c>
      <c r="S25">
        <v>1.34</v>
      </c>
    </row>
    <row r="26" spans="2:20">
      <c r="B26" s="9">
        <v>43405</v>
      </c>
      <c r="C26" s="10">
        <f t="shared" si="2"/>
        <v>482.97796533218684</v>
      </c>
      <c r="F26" s="1">
        <f t="shared" si="0"/>
        <v>0.26</v>
      </c>
      <c r="I26">
        <f t="shared" si="4"/>
        <v>1.6884000000000001</v>
      </c>
      <c r="L26" s="9">
        <v>43405</v>
      </c>
      <c r="M26" s="10">
        <f t="shared" si="3"/>
        <v>383.31584550173557</v>
      </c>
      <c r="P26" s="1">
        <f t="shared" si="1"/>
        <v>0</v>
      </c>
      <c r="S26">
        <v>1.34</v>
      </c>
    </row>
    <row r="27" spans="2:20">
      <c r="B27" s="9">
        <v>43435</v>
      </c>
      <c r="C27" s="10">
        <f t="shared" si="2"/>
        <v>472.6635901656324</v>
      </c>
      <c r="D27" s="8">
        <f>SUM(C16:C27)*1.025</f>
        <v>5308.9174301828743</v>
      </c>
      <c r="E27" s="7">
        <f>+D27/D15-1</f>
        <v>0.31515569250526898</v>
      </c>
      <c r="F27" s="1">
        <f>+I27/I15-1</f>
        <v>0.26</v>
      </c>
      <c r="I27">
        <f t="shared" si="4"/>
        <v>1.6884000000000001</v>
      </c>
      <c r="J27">
        <f>AVERAGE(I16:I27)/AVERAGE(I4:I15)-1</f>
        <v>0.28173913043478271</v>
      </c>
      <c r="L27" s="9">
        <v>43435</v>
      </c>
      <c r="M27" s="10">
        <f t="shared" si="3"/>
        <v>375.12983346478762</v>
      </c>
      <c r="N27" s="8">
        <f>SUM(M16:M27)*1.025</f>
        <v>4543.4783140982772</v>
      </c>
      <c r="O27" s="7">
        <f>+N27/N15-1</f>
        <v>0.1255366931473938</v>
      </c>
      <c r="P27" s="1">
        <f>+S27/S15-1</f>
        <v>0</v>
      </c>
      <c r="S27">
        <v>1.34</v>
      </c>
      <c r="T27">
        <f>AVERAGE(S16:S27)/AVERAGE(S4:S15)-1</f>
        <v>9.2391304347826164E-2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1" workbookViewId="0">
      <selection activeCell="D34" sqref="D34"/>
    </sheetView>
  </sheetViews>
  <sheetFormatPr baseColWidth="10" defaultColWidth="9.1640625" defaultRowHeight="14" x14ac:dyDescent="0"/>
  <cols>
    <col min="1" max="1" width="27.33203125" style="30" bestFit="1" customWidth="1"/>
    <col min="2" max="5" width="12.5" style="40" customWidth="1"/>
    <col min="6" max="6" width="9.1640625" style="30"/>
    <col min="7" max="7" width="18.33203125" style="12" bestFit="1" customWidth="1"/>
    <col min="8" max="16384" width="9.1640625" style="30"/>
  </cols>
  <sheetData>
    <row r="1" spans="1:7">
      <c r="A1" s="15" t="s">
        <v>29</v>
      </c>
    </row>
    <row r="3" spans="1:7" ht="15" thickBot="1">
      <c r="A3" s="15" t="s">
        <v>1</v>
      </c>
    </row>
    <row r="4" spans="1:7">
      <c r="A4" s="33"/>
      <c r="B4" s="52">
        <v>2017</v>
      </c>
      <c r="C4" s="53"/>
      <c r="D4" s="52" t="s">
        <v>19</v>
      </c>
      <c r="E4" s="53"/>
      <c r="F4" s="30" t="s">
        <v>0</v>
      </c>
      <c r="G4" s="44" t="s">
        <v>30</v>
      </c>
    </row>
    <row r="5" spans="1:7" ht="28">
      <c r="A5" s="34" t="s">
        <v>18</v>
      </c>
      <c r="B5" s="54" t="s">
        <v>28</v>
      </c>
      <c r="C5" s="55" t="s">
        <v>16</v>
      </c>
      <c r="D5" s="54" t="s">
        <v>28</v>
      </c>
      <c r="E5" s="55" t="s">
        <v>16</v>
      </c>
      <c r="G5" s="45"/>
    </row>
    <row r="6" spans="1:7">
      <c r="A6" s="35" t="s">
        <v>27</v>
      </c>
      <c r="B6" s="56">
        <v>5.0738626841465067</v>
      </c>
      <c r="C6" s="57">
        <v>0.76278350515463922</v>
      </c>
      <c r="D6" s="56">
        <v>5.1239999999999997</v>
      </c>
      <c r="E6" s="57">
        <v>0.79</v>
      </c>
      <c r="F6" s="31">
        <f>D6-B6</f>
        <v>5.0137315853493014E-2</v>
      </c>
      <c r="G6" s="45"/>
    </row>
    <row r="7" spans="1:7">
      <c r="A7" s="36" t="s">
        <v>26</v>
      </c>
      <c r="B7" s="58">
        <v>2.4900000000000002</v>
      </c>
      <c r="C7" s="59">
        <v>0.3555670103092784</v>
      </c>
      <c r="D7" s="58">
        <v>4.8</v>
      </c>
      <c r="E7" s="59">
        <v>0.69520000000000004</v>
      </c>
      <c r="F7" s="31">
        <f t="shared" ref="F7:F14" si="0">D7-B7</f>
        <v>2.3099999999999996</v>
      </c>
      <c r="G7" s="48">
        <f>F7*E7*$E$15</f>
        <v>3029.23968992248</v>
      </c>
    </row>
    <row r="8" spans="1:7">
      <c r="A8" s="36" t="s">
        <v>25</v>
      </c>
      <c r="B8" s="58">
        <v>7.33</v>
      </c>
      <c r="C8" s="59">
        <v>0.40721649484536088</v>
      </c>
      <c r="D8" s="58">
        <v>7.5</v>
      </c>
      <c r="E8" s="59">
        <v>9.4799999999999995E-2</v>
      </c>
      <c r="F8" s="31">
        <f t="shared" si="0"/>
        <v>0.16999999999999993</v>
      </c>
      <c r="G8" s="48">
        <f>F8*E8*$E$15</f>
        <v>30.399689922480604</v>
      </c>
    </row>
    <row r="9" spans="1:7">
      <c r="A9" s="35" t="s">
        <v>24</v>
      </c>
      <c r="B9" s="56">
        <v>4.75</v>
      </c>
      <c r="C9" s="57">
        <v>0.13402061855670103</v>
      </c>
      <c r="D9" s="56">
        <v>6.2</v>
      </c>
      <c r="E9" s="57">
        <v>0.13</v>
      </c>
      <c r="F9" s="31">
        <f t="shared" si="0"/>
        <v>1.4500000000000002</v>
      </c>
      <c r="G9" s="48">
        <f>F9*E9*$E$15</f>
        <v>355.56847545219642</v>
      </c>
    </row>
    <row r="10" spans="1:7">
      <c r="A10" s="35" t="s">
        <v>23</v>
      </c>
      <c r="B10" s="56">
        <v>7.2</v>
      </c>
      <c r="C10" s="57">
        <v>9.2783505154639179E-2</v>
      </c>
      <c r="D10" s="56">
        <v>8.5</v>
      </c>
      <c r="E10" s="57">
        <v>7.0000000000000007E-2</v>
      </c>
      <c r="F10" s="31">
        <f t="shared" si="0"/>
        <v>1.2999999999999998</v>
      </c>
      <c r="G10" s="48">
        <f>F10*E10*$E$15</f>
        <v>171.65374677002583</v>
      </c>
    </row>
    <row r="11" spans="1:7">
      <c r="A11" s="35" t="s">
        <v>22</v>
      </c>
      <c r="B11" s="56">
        <v>8.3037301402937249</v>
      </c>
      <c r="C11" s="57">
        <v>1.0309278350515464E-2</v>
      </c>
      <c r="D11" s="56">
        <v>9</v>
      </c>
      <c r="E11" s="57">
        <v>6.0000000000000001E-3</v>
      </c>
      <c r="F11" s="31">
        <f t="shared" si="0"/>
        <v>0.69626985970627508</v>
      </c>
      <c r="G11" s="48">
        <f>F11*E11*$E$15</f>
        <v>7.8802635284586176</v>
      </c>
    </row>
    <row r="12" spans="1:7" ht="15" thickBot="1">
      <c r="A12" s="37" t="s">
        <v>11</v>
      </c>
      <c r="B12" s="60">
        <v>5.2605034035081832</v>
      </c>
      <c r="C12" s="61">
        <v>0.99989690721649493</v>
      </c>
      <c r="D12" s="60">
        <v>5.5029599999999999</v>
      </c>
      <c r="E12" s="61">
        <v>0.996</v>
      </c>
      <c r="F12" s="31">
        <f t="shared" si="0"/>
        <v>0.24245659649181661</v>
      </c>
      <c r="G12" s="48"/>
    </row>
    <row r="13" spans="1:7">
      <c r="A13" s="38" t="s">
        <v>21</v>
      </c>
      <c r="B13" s="56">
        <v>10.6</v>
      </c>
      <c r="C13" s="57">
        <v>0.03</v>
      </c>
      <c r="D13" s="56">
        <v>14.2</v>
      </c>
      <c r="E13" s="64">
        <v>4.0000000000000001E-3</v>
      </c>
      <c r="F13" s="31">
        <f t="shared" si="0"/>
        <v>3.5999999999999996</v>
      </c>
      <c r="G13" s="48">
        <f>F13*E13*$E$15</f>
        <v>27.162790697674417</v>
      </c>
    </row>
    <row r="14" spans="1:7" ht="15" thickBot="1">
      <c r="A14" s="39" t="s">
        <v>20</v>
      </c>
      <c r="B14" s="60">
        <v>5.4201622510625871</v>
      </c>
      <c r="C14" s="61"/>
      <c r="D14" s="60">
        <v>5.5377481599999996</v>
      </c>
      <c r="E14" s="61"/>
      <c r="F14" s="31">
        <f t="shared" si="0"/>
        <v>0.1175859089374125</v>
      </c>
      <c r="G14" s="45"/>
    </row>
    <row r="15" spans="1:7" ht="15" thickBot="1">
      <c r="A15" s="43" t="s">
        <v>31</v>
      </c>
      <c r="B15" s="62"/>
      <c r="C15" s="63">
        <v>1744.8320413436693</v>
      </c>
      <c r="D15" s="62"/>
      <c r="E15" s="63">
        <v>1886.3049095607234</v>
      </c>
      <c r="G15" s="50">
        <f>SUM(G7:G14)</f>
        <v>3621.9046562933163</v>
      </c>
    </row>
    <row r="16" spans="1:7" ht="16" thickBot="1">
      <c r="A16" s="46" t="s">
        <v>33</v>
      </c>
      <c r="B16" s="47"/>
      <c r="C16" s="47"/>
      <c r="D16" s="47"/>
      <c r="E16" s="47"/>
      <c r="F16" s="47"/>
      <c r="G16" s="11">
        <f>G15*'Hoja de datos'!B16</f>
        <v>75915.121595907913</v>
      </c>
    </row>
    <row r="17" spans="1:7">
      <c r="A17" s="35"/>
      <c r="B17" s="41"/>
      <c r="C17" s="41"/>
      <c r="D17" s="41"/>
      <c r="E17" s="41"/>
      <c r="G17" s="45"/>
    </row>
    <row r="18" spans="1:7" ht="15" thickBot="1">
      <c r="A18" s="42" t="s">
        <v>2</v>
      </c>
      <c r="B18" s="41"/>
      <c r="C18" s="41"/>
      <c r="D18" s="41"/>
      <c r="E18" s="41"/>
      <c r="G18" s="45"/>
    </row>
    <row r="19" spans="1:7">
      <c r="A19" s="33"/>
      <c r="B19" s="52">
        <v>2017</v>
      </c>
      <c r="C19" s="53"/>
      <c r="D19" s="52" t="s">
        <v>19</v>
      </c>
      <c r="E19" s="53"/>
      <c r="G19" s="45"/>
    </row>
    <row r="20" spans="1:7" ht="28">
      <c r="A20" s="34" t="s">
        <v>18</v>
      </c>
      <c r="B20" s="54" t="s">
        <v>17</v>
      </c>
      <c r="C20" s="55" t="s">
        <v>16</v>
      </c>
      <c r="D20" s="54" t="s">
        <v>17</v>
      </c>
      <c r="E20" s="55" t="s">
        <v>16</v>
      </c>
      <c r="G20" s="45"/>
    </row>
    <row r="21" spans="1:7">
      <c r="A21" s="35" t="s">
        <v>15</v>
      </c>
      <c r="B21" s="65">
        <v>1301.3456483041505</v>
      </c>
      <c r="C21" s="57">
        <v>0.6503431066693599</v>
      </c>
      <c r="D21" s="65">
        <v>1543.7059889001</v>
      </c>
      <c r="E21" s="57">
        <v>0.61154113326941928</v>
      </c>
      <c r="F21" s="32">
        <f>D21-B21</f>
        <v>242.36034059594954</v>
      </c>
      <c r="G21" s="45">
        <f>F21*E21*$E$29/1000</f>
        <v>20051.455133704527</v>
      </c>
    </row>
    <row r="22" spans="1:7">
      <c r="A22" s="35" t="s">
        <v>14</v>
      </c>
      <c r="B22" s="65">
        <v>167.87806899324747</v>
      </c>
      <c r="C22" s="57">
        <v>0.30275696523072998</v>
      </c>
      <c r="D22" s="65">
        <v>211.16654948354011</v>
      </c>
      <c r="E22" s="57">
        <v>0.30932307554971977</v>
      </c>
      <c r="F22" s="32">
        <f t="shared" ref="F22:F28" si="1">D22-B22</f>
        <v>43.288480490292642</v>
      </c>
      <c r="G22" s="45">
        <f>F22*E22*$E$29/1000</f>
        <v>1811.5208130219351</v>
      </c>
    </row>
    <row r="23" spans="1:7">
      <c r="A23" s="35" t="s">
        <v>13</v>
      </c>
      <c r="B23" s="65">
        <v>816.9045064424605</v>
      </c>
      <c r="C23" s="57">
        <v>4.1954755210310626E-2</v>
      </c>
      <c r="D23" s="65">
        <v>1246.3364655984515</v>
      </c>
      <c r="E23" s="57">
        <v>6.2145340392349646E-2</v>
      </c>
      <c r="F23" s="32">
        <f t="shared" si="1"/>
        <v>429.43195915599097</v>
      </c>
      <c r="G23" s="45">
        <f>F23*E23*$E$29/1000</f>
        <v>3610.4522071266238</v>
      </c>
    </row>
    <row r="24" spans="1:7">
      <c r="A24" s="35" t="s">
        <v>12</v>
      </c>
      <c r="B24" s="65">
        <v>2254.8267496361732</v>
      </c>
      <c r="C24" s="57">
        <v>4.9451728895992999E-3</v>
      </c>
      <c r="D24" s="65">
        <v>1928.940775142856</v>
      </c>
      <c r="E24" s="57">
        <v>1.6990450788511208E-2</v>
      </c>
      <c r="F24" s="32"/>
      <c r="G24" s="45"/>
    </row>
    <row r="25" spans="1:7" ht="15" thickBot="1">
      <c r="A25" s="37" t="s">
        <v>11</v>
      </c>
      <c r="B25" s="66">
        <v>942.57096317700132</v>
      </c>
      <c r="C25" s="61">
        <v>0.99999999999999989</v>
      </c>
      <c r="D25" s="66">
        <v>1119.5859736382586</v>
      </c>
      <c r="E25" s="61">
        <v>0.99999999999999989</v>
      </c>
      <c r="F25" s="32">
        <f t="shared" si="1"/>
        <v>177.01501046125725</v>
      </c>
      <c r="G25" s="45"/>
    </row>
    <row r="26" spans="1:7">
      <c r="A26" s="38" t="s">
        <v>10</v>
      </c>
      <c r="B26" s="65">
        <v>239.60652479696529</v>
      </c>
      <c r="C26" s="57"/>
      <c r="D26" s="65">
        <v>323.01531343630546</v>
      </c>
      <c r="E26" s="57"/>
      <c r="F26" s="32">
        <f t="shared" si="1"/>
        <v>83.408788639340173</v>
      </c>
      <c r="G26" s="45"/>
    </row>
    <row r="27" spans="1:7">
      <c r="A27" s="35" t="s">
        <v>9</v>
      </c>
      <c r="B27" s="65">
        <v>49.827057800451847</v>
      </c>
      <c r="C27" s="67"/>
      <c r="D27" s="65">
        <v>67.896346971400376</v>
      </c>
      <c r="E27" s="67"/>
      <c r="F27" s="32">
        <f t="shared" si="1"/>
        <v>18.069289170948529</v>
      </c>
      <c r="G27" s="45"/>
    </row>
    <row r="28" spans="1:7" ht="15" thickBot="1">
      <c r="A28" s="39" t="s">
        <v>8</v>
      </c>
      <c r="B28" s="66">
        <v>1232.0045457744186</v>
      </c>
      <c r="C28" s="61"/>
      <c r="D28" s="66">
        <v>1510.4976340459643</v>
      </c>
      <c r="E28" s="61"/>
      <c r="F28" s="32">
        <f t="shared" si="1"/>
        <v>278.49308827154573</v>
      </c>
      <c r="G28" s="45"/>
    </row>
    <row r="29" spans="1:7" ht="15" thickBot="1">
      <c r="A29" s="15" t="s">
        <v>31</v>
      </c>
      <c r="B29" s="68"/>
      <c r="C29" s="69"/>
      <c r="D29" s="68"/>
      <c r="E29" s="70">
        <v>135287.81011410203</v>
      </c>
      <c r="G29" s="45"/>
    </row>
    <row r="30" spans="1:7" ht="16" thickBot="1">
      <c r="A30" s="46" t="s">
        <v>33</v>
      </c>
      <c r="B30" s="47"/>
      <c r="C30" s="47"/>
      <c r="D30" s="47"/>
      <c r="E30" s="47"/>
      <c r="F30" s="47"/>
      <c r="G30" s="49">
        <f>SUM(G21:G28)</f>
        <v>25473.428153853085</v>
      </c>
    </row>
    <row r="31" spans="1:7" ht="16" thickBot="1">
      <c r="A31" s="46" t="s">
        <v>32</v>
      </c>
      <c r="B31" s="47"/>
      <c r="C31" s="47"/>
      <c r="D31" s="47"/>
      <c r="E31" s="47"/>
      <c r="F31" s="47"/>
      <c r="G31" s="51">
        <f>+G30+G16</f>
        <v>101388.549749761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Gas natural</vt:lpstr>
      <vt:lpstr>Electricidad</vt:lpstr>
      <vt:lpstr>Hoja de datos</vt:lpstr>
      <vt:lpstr>Agua</vt:lpstr>
      <vt:lpstr>Subsidio a la oferta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Natalia Laria</cp:lastModifiedBy>
  <dcterms:created xsi:type="dcterms:W3CDTF">2018-04-28T15:44:24Z</dcterms:created>
  <dcterms:modified xsi:type="dcterms:W3CDTF">2018-05-09T03:41:51Z</dcterms:modified>
</cp:coreProperties>
</file>